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"/>
    </mc:Choice>
  </mc:AlternateContent>
  <bookViews>
    <workbookView xWindow="0" yWindow="0" windowWidth="19200" windowHeight="11775" activeTab="2"/>
  </bookViews>
  <sheets>
    <sheet name="inversiones" sheetId="1" r:id="rId1"/>
    <sheet name="Plan econ." sheetId="2" r:id="rId2"/>
    <sheet name="Plan financiero" sheetId="3" r:id="rId3"/>
    <sheet name="Péstamo" sheetId="4" r:id="rId4"/>
  </sheets>
  <definedNames>
    <definedName name="INTERESES">OFFSET(Péstamo!$E$16,0,0,COUNT(Péstamo!$E$16:$E$376),1)</definedName>
    <definedName name="PAGOS">OFFSET(Péstamo!$J$15,0,0,COUNT(Péstamo!$J$15:$J$376),1)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G11" i="3" s="1"/>
  <c r="D11" i="3"/>
  <c r="E86" i="3"/>
  <c r="F82" i="3"/>
  <c r="E82" i="3"/>
  <c r="F81" i="3"/>
  <c r="E81" i="3"/>
  <c r="F79" i="3"/>
  <c r="D82" i="3"/>
  <c r="D81" i="3"/>
  <c r="D79" i="3"/>
  <c r="D66" i="3"/>
  <c r="G51" i="3"/>
  <c r="G86" i="3" s="1"/>
  <c r="G50" i="3"/>
  <c r="G85" i="3" s="1"/>
  <c r="G87" i="3" s="1"/>
  <c r="F51" i="3"/>
  <c r="F86" i="3" s="1"/>
  <c r="F50" i="3"/>
  <c r="F85" i="3" s="1"/>
  <c r="E51" i="3"/>
  <c r="E50" i="3"/>
  <c r="E85" i="3" s="1"/>
  <c r="D51" i="3"/>
  <c r="D86" i="3" s="1"/>
  <c r="D50" i="3"/>
  <c r="D85" i="3" s="1"/>
  <c r="F29" i="2"/>
  <c r="E29" i="2"/>
  <c r="D29" i="2"/>
  <c r="C18" i="4"/>
  <c r="B18" i="4"/>
  <c r="D18" i="4" s="1"/>
  <c r="A18" i="4"/>
  <c r="A19" i="4" s="1"/>
  <c r="F17" i="4"/>
  <c r="E7" i="4"/>
  <c r="E8" i="4" s="1"/>
  <c r="E6" i="4"/>
  <c r="E5" i="4"/>
  <c r="F32" i="3"/>
  <c r="F31" i="3"/>
  <c r="E40" i="3"/>
  <c r="F40" i="3" s="1"/>
  <c r="G40" i="3" s="1"/>
  <c r="G79" i="3" s="1"/>
  <c r="D41" i="3"/>
  <c r="D44" i="3" s="1"/>
  <c r="D24" i="3"/>
  <c r="D26" i="3" s="1"/>
  <c r="E26" i="3" s="1"/>
  <c r="F26" i="3" s="1"/>
  <c r="G26" i="3" s="1"/>
  <c r="G76" i="3" s="1"/>
  <c r="D18" i="3"/>
  <c r="E18" i="3" s="1"/>
  <c r="E70" i="3" s="1"/>
  <c r="F66" i="3"/>
  <c r="E11" i="3"/>
  <c r="E66" i="3" s="1"/>
  <c r="D3" i="3"/>
  <c r="E3" i="3" s="1"/>
  <c r="E61" i="3" s="1"/>
  <c r="F17" i="2"/>
  <c r="E17" i="2"/>
  <c r="D21" i="2"/>
  <c r="D22" i="2" s="1"/>
  <c r="D24" i="2" s="1"/>
  <c r="E21" i="2"/>
  <c r="F9" i="2"/>
  <c r="E9" i="2"/>
  <c r="E11" i="2"/>
  <c r="F87" i="3" l="1"/>
  <c r="E87" i="3"/>
  <c r="D80" i="3"/>
  <c r="D87" i="3"/>
  <c r="E76" i="3"/>
  <c r="D76" i="3"/>
  <c r="F76" i="3"/>
  <c r="D83" i="3"/>
  <c r="F33" i="3"/>
  <c r="G43" i="3" s="1"/>
  <c r="G82" i="3" s="1"/>
  <c r="D70" i="3"/>
  <c r="D74" i="3"/>
  <c r="E79" i="3"/>
  <c r="D52" i="3"/>
  <c r="D61" i="3"/>
  <c r="E52" i="3"/>
  <c r="A20" i="4"/>
  <c r="C19" i="4"/>
  <c r="D19" i="4"/>
  <c r="E19" i="4" s="1"/>
  <c r="F19" i="4" s="1"/>
  <c r="B19" i="4"/>
  <c r="E18" i="4"/>
  <c r="F18" i="4" s="1"/>
  <c r="G42" i="3"/>
  <c r="G81" i="3" s="1"/>
  <c r="D4" i="3"/>
  <c r="E4" i="3"/>
  <c r="F3" i="3"/>
  <c r="F61" i="3" s="1"/>
  <c r="E24" i="3"/>
  <c r="E74" i="3" s="1"/>
  <c r="D25" i="3"/>
  <c r="E19" i="3"/>
  <c r="F18" i="3"/>
  <c r="F70" i="3" s="1"/>
  <c r="D19" i="3"/>
  <c r="E12" i="3"/>
  <c r="D12" i="3"/>
  <c r="F21" i="2"/>
  <c r="E22" i="2"/>
  <c r="E24" i="2" s="1"/>
  <c r="E12" i="2"/>
  <c r="F11" i="2"/>
  <c r="F12" i="2" s="1"/>
  <c r="D9" i="2"/>
  <c r="D12" i="2" s="1"/>
  <c r="D7" i="1"/>
  <c r="F5" i="1" s="1"/>
  <c r="F7" i="1" s="1"/>
  <c r="E20" i="3" l="1"/>
  <c r="E71" i="3"/>
  <c r="E72" i="3" s="1"/>
  <c r="E41" i="3"/>
  <c r="D75" i="3"/>
  <c r="D77" i="3" s="1"/>
  <c r="D72" i="3"/>
  <c r="D20" i="3"/>
  <c r="D71" i="3"/>
  <c r="D13" i="3"/>
  <c r="D67" i="3"/>
  <c r="D68" i="3" s="1"/>
  <c r="E13" i="3"/>
  <c r="E67" i="3"/>
  <c r="E68" i="3" s="1"/>
  <c r="D5" i="3"/>
  <c r="D62" i="3"/>
  <c r="D63" i="3" s="1"/>
  <c r="D89" i="3" s="1"/>
  <c r="E58" i="3" s="1"/>
  <c r="E5" i="3"/>
  <c r="E62" i="3"/>
  <c r="E63" i="3" s="1"/>
  <c r="H19" i="4"/>
  <c r="G19" i="4"/>
  <c r="A21" i="4"/>
  <c r="C20" i="4"/>
  <c r="B20" i="4"/>
  <c r="D20" i="4" s="1"/>
  <c r="G18" i="4"/>
  <c r="H18" i="4" s="1"/>
  <c r="G52" i="3"/>
  <c r="F52" i="3"/>
  <c r="F24" i="3"/>
  <c r="F74" i="3" s="1"/>
  <c r="G3" i="3"/>
  <c r="G61" i="3" s="1"/>
  <c r="F4" i="3"/>
  <c r="E25" i="3"/>
  <c r="E75" i="3" s="1"/>
  <c r="E77" i="3" s="1"/>
  <c r="D27" i="3"/>
  <c r="G18" i="3"/>
  <c r="G70" i="3" s="1"/>
  <c r="F19" i="3"/>
  <c r="G66" i="3"/>
  <c r="F12" i="3"/>
  <c r="E14" i="2"/>
  <c r="E15" i="2" s="1"/>
  <c r="E26" i="2" s="1"/>
  <c r="E31" i="2" s="1"/>
  <c r="E33" i="2" s="1"/>
  <c r="E35" i="2" s="1"/>
  <c r="E37" i="2" s="1"/>
  <c r="D14" i="2"/>
  <c r="D15" i="2" s="1"/>
  <c r="D26" i="2" s="1"/>
  <c r="D31" i="2" s="1"/>
  <c r="D33" i="2" s="1"/>
  <c r="D35" i="2" s="1"/>
  <c r="D37" i="2" s="1"/>
  <c r="F14" i="2"/>
  <c r="F15" i="2" s="1"/>
  <c r="F22" i="2"/>
  <c r="F24" i="2"/>
  <c r="E89" i="3" l="1"/>
  <c r="F58" i="3" s="1"/>
  <c r="F77" i="3"/>
  <c r="E44" i="3"/>
  <c r="E80" i="3"/>
  <c r="E83" i="3" s="1"/>
  <c r="F20" i="3"/>
  <c r="F71" i="3"/>
  <c r="F72" i="3" s="1"/>
  <c r="F5" i="3"/>
  <c r="F62" i="3"/>
  <c r="F63" i="3" s="1"/>
  <c r="F13" i="3"/>
  <c r="F67" i="3"/>
  <c r="F68" i="3" s="1"/>
  <c r="E20" i="4"/>
  <c r="F20" i="4" s="1"/>
  <c r="A22" i="4"/>
  <c r="B21" i="4"/>
  <c r="D21" i="4" s="1"/>
  <c r="C21" i="4"/>
  <c r="F25" i="3"/>
  <c r="F75" i="3" s="1"/>
  <c r="F41" i="3"/>
  <c r="G4" i="3"/>
  <c r="G24" i="3"/>
  <c r="G74" i="3" s="1"/>
  <c r="E27" i="3"/>
  <c r="G19" i="3"/>
  <c r="G12" i="3"/>
  <c r="F26" i="2"/>
  <c r="F31" i="2" s="1"/>
  <c r="F33" i="2" s="1"/>
  <c r="F35" i="2" s="1"/>
  <c r="F37" i="2" s="1"/>
  <c r="G20" i="3" l="1"/>
  <c r="G71" i="3"/>
  <c r="G72" i="3" s="1"/>
  <c r="F44" i="3"/>
  <c r="F80" i="3"/>
  <c r="F83" i="3" s="1"/>
  <c r="F89" i="3"/>
  <c r="G58" i="3" s="1"/>
  <c r="G13" i="3"/>
  <c r="G67" i="3"/>
  <c r="G68" i="3" s="1"/>
  <c r="G5" i="3"/>
  <c r="G62" i="3"/>
  <c r="G63" i="3" s="1"/>
  <c r="E21" i="4"/>
  <c r="F21" i="4" s="1"/>
  <c r="G20" i="4"/>
  <c r="H20" i="4" s="1"/>
  <c r="A23" i="4"/>
  <c r="C22" i="4"/>
  <c r="B22" i="4"/>
  <c r="D22" i="4" s="1"/>
  <c r="E22" i="4" s="1"/>
  <c r="F22" i="4" s="1"/>
  <c r="G25" i="3"/>
  <c r="G41" i="3"/>
  <c r="F27" i="3"/>
  <c r="G44" i="3" l="1"/>
  <c r="G80" i="3"/>
  <c r="G83" i="3" s="1"/>
  <c r="G27" i="3"/>
  <c r="G75" i="3"/>
  <c r="G77" i="3" s="1"/>
  <c r="G22" i="4"/>
  <c r="H22" i="4"/>
  <c r="A24" i="4"/>
  <c r="B23" i="4"/>
  <c r="D23" i="4" s="1"/>
  <c r="E23" i="4" s="1"/>
  <c r="F23" i="4" s="1"/>
  <c r="C23" i="4"/>
  <c r="G21" i="4"/>
  <c r="H21" i="4"/>
  <c r="G89" i="3" l="1"/>
  <c r="G23" i="4"/>
  <c r="H23" i="4"/>
  <c r="A25" i="4"/>
  <c r="C24" i="4"/>
  <c r="B24" i="4"/>
  <c r="D24" i="4" s="1"/>
  <c r="E24" i="4" s="1"/>
  <c r="F24" i="4" s="1"/>
  <c r="G24" i="4" l="1"/>
  <c r="H24" i="4"/>
  <c r="A26" i="4"/>
  <c r="B25" i="4"/>
  <c r="D25" i="4" s="1"/>
  <c r="E25" i="4" s="1"/>
  <c r="F25" i="4" s="1"/>
  <c r="C25" i="4"/>
  <c r="G25" i="4" l="1"/>
  <c r="H25" i="4"/>
  <c r="A27" i="4"/>
  <c r="C26" i="4"/>
  <c r="B26" i="4"/>
  <c r="D26" i="4" s="1"/>
  <c r="E26" i="4" s="1"/>
  <c r="F26" i="4" s="1"/>
  <c r="G26" i="4" l="1"/>
  <c r="H26" i="4"/>
  <c r="A28" i="4"/>
  <c r="B27" i="4"/>
  <c r="D27" i="4" s="1"/>
  <c r="E27" i="4" s="1"/>
  <c r="F27" i="4" s="1"/>
  <c r="C27" i="4"/>
  <c r="G27" i="4" l="1"/>
  <c r="H27" i="4"/>
  <c r="A29" i="4"/>
  <c r="C28" i="4"/>
  <c r="B28" i="4"/>
  <c r="D28" i="4" s="1"/>
  <c r="E28" i="4" s="1"/>
  <c r="F28" i="4" s="1"/>
  <c r="G28" i="4" l="1"/>
  <c r="H28" i="4"/>
  <c r="B29" i="4"/>
  <c r="D29" i="4" s="1"/>
  <c r="A30" i="4"/>
  <c r="C29" i="4"/>
  <c r="I29" i="4" s="1"/>
  <c r="J29" i="4" l="1"/>
  <c r="E29" i="4"/>
  <c r="F29" i="4" s="1"/>
  <c r="B30" i="4"/>
  <c r="A31" i="4"/>
  <c r="G29" i="4" l="1"/>
  <c r="H29" i="4"/>
  <c r="A32" i="4"/>
  <c r="B31" i="4"/>
  <c r="C30" i="4"/>
  <c r="B32" i="4" l="1"/>
  <c r="A33" i="4"/>
  <c r="D30" i="4"/>
  <c r="A34" i="4" l="1"/>
  <c r="B33" i="4"/>
  <c r="E30" i="4"/>
  <c r="F30" i="4" s="1"/>
  <c r="G30" i="4" l="1"/>
  <c r="H30" i="4"/>
  <c r="C31" i="4"/>
  <c r="B34" i="4"/>
  <c r="A35" i="4"/>
  <c r="A36" i="4" l="1"/>
  <c r="B35" i="4"/>
  <c r="D31" i="4"/>
  <c r="E31" i="4" l="1"/>
  <c r="F31" i="4" s="1"/>
  <c r="B36" i="4"/>
  <c r="A37" i="4"/>
  <c r="A38" i="4" l="1"/>
  <c r="B37" i="4"/>
  <c r="G31" i="4"/>
  <c r="H31" i="4"/>
  <c r="C32" i="4"/>
  <c r="B38" i="4" l="1"/>
  <c r="A39" i="4"/>
  <c r="D32" i="4"/>
  <c r="E32" i="4" l="1"/>
  <c r="F32" i="4" s="1"/>
  <c r="A40" i="4"/>
  <c r="B39" i="4"/>
  <c r="B40" i="4" l="1"/>
  <c r="A41" i="4"/>
  <c r="H32" i="4"/>
  <c r="G32" i="4"/>
  <c r="C33" i="4"/>
  <c r="D33" i="4" l="1"/>
  <c r="A42" i="4"/>
  <c r="B41" i="4"/>
  <c r="E33" i="4" l="1"/>
  <c r="F33" i="4" s="1"/>
  <c r="A43" i="4"/>
  <c r="D42" i="4"/>
  <c r="C42" i="4"/>
  <c r="B42" i="4"/>
  <c r="G33" i="4" l="1"/>
  <c r="H33" i="4"/>
  <c r="C34" i="4"/>
  <c r="A44" i="4"/>
  <c r="C43" i="4"/>
  <c r="B43" i="4"/>
  <c r="D43" i="4"/>
  <c r="A45" i="4" l="1"/>
  <c r="D44" i="4"/>
  <c r="C44" i="4"/>
  <c r="B44" i="4"/>
  <c r="D34" i="4"/>
  <c r="A46" i="4" l="1"/>
  <c r="C45" i="4"/>
  <c r="B45" i="4"/>
  <c r="D45" i="4"/>
  <c r="E34" i="4"/>
  <c r="F34" i="4" s="1"/>
  <c r="G34" i="4" l="1"/>
  <c r="H34" i="4"/>
  <c r="C35" i="4"/>
  <c r="D35" i="4" s="1"/>
  <c r="A47" i="4"/>
  <c r="D46" i="4"/>
  <c r="C46" i="4"/>
  <c r="B46" i="4"/>
  <c r="A48" i="4" l="1"/>
  <c r="C47" i="4"/>
  <c r="B47" i="4"/>
  <c r="D47" i="4"/>
  <c r="E35" i="4"/>
  <c r="F35" i="4" s="1"/>
  <c r="A49" i="4" l="1"/>
  <c r="D48" i="4"/>
  <c r="C48" i="4"/>
  <c r="B48" i="4"/>
  <c r="G35" i="4"/>
  <c r="H35" i="4"/>
  <c r="C36" i="4"/>
  <c r="D36" i="4" s="1"/>
  <c r="E36" i="4" l="1"/>
  <c r="F36" i="4" s="1"/>
  <c r="A50" i="4"/>
  <c r="C49" i="4"/>
  <c r="B49" i="4"/>
  <c r="D49" i="4"/>
  <c r="G36" i="4" l="1"/>
  <c r="H36" i="4"/>
  <c r="C37" i="4"/>
  <c r="D37" i="4" s="1"/>
  <c r="A51" i="4"/>
  <c r="D50" i="4"/>
  <c r="C50" i="4"/>
  <c r="B50" i="4"/>
  <c r="A52" i="4" l="1"/>
  <c r="C51" i="4"/>
  <c r="B51" i="4"/>
  <c r="D51" i="4"/>
  <c r="E37" i="4"/>
  <c r="F37" i="4" s="1"/>
  <c r="A53" i="4" l="1"/>
  <c r="D52" i="4"/>
  <c r="C52" i="4"/>
  <c r="B52" i="4"/>
  <c r="G37" i="4"/>
  <c r="H37" i="4"/>
  <c r="C38" i="4"/>
  <c r="D38" i="4" s="1"/>
  <c r="E38" i="4" l="1"/>
  <c r="F38" i="4" s="1"/>
  <c r="C53" i="4"/>
  <c r="I53" i="4" s="1"/>
  <c r="B53" i="4"/>
  <c r="A54" i="4"/>
  <c r="D53" i="4"/>
  <c r="J53" i="4" s="1"/>
  <c r="G38" i="4" l="1"/>
  <c r="H38" i="4" s="1"/>
  <c r="C39" i="4"/>
  <c r="D39" i="4" s="1"/>
  <c r="C54" i="4"/>
  <c r="A55" i="4"/>
  <c r="D54" i="4"/>
  <c r="B54" i="4"/>
  <c r="C55" i="4" l="1"/>
  <c r="A56" i="4"/>
  <c r="D55" i="4"/>
  <c r="B55" i="4"/>
  <c r="E39" i="4"/>
  <c r="F39" i="4" s="1"/>
  <c r="C56" i="4" l="1"/>
  <c r="B56" i="4"/>
  <c r="D56" i="4"/>
  <c r="A57" i="4"/>
  <c r="G39" i="4"/>
  <c r="H39" i="4"/>
  <c r="C40" i="4"/>
  <c r="D40" i="4" s="1"/>
  <c r="C57" i="4" l="1"/>
  <c r="B57" i="4"/>
  <c r="D57" i="4"/>
  <c r="A58" i="4"/>
  <c r="E40" i="4"/>
  <c r="F40" i="4" s="1"/>
  <c r="A59" i="4" l="1"/>
  <c r="C58" i="4"/>
  <c r="B58" i="4"/>
  <c r="D58" i="4"/>
  <c r="G40" i="4"/>
  <c r="H40" i="4" s="1"/>
  <c r="C41" i="4"/>
  <c r="D41" i="4" l="1"/>
  <c r="I41" i="4"/>
  <c r="A60" i="4"/>
  <c r="D59" i="4"/>
  <c r="C59" i="4"/>
  <c r="B59" i="4"/>
  <c r="E41" i="4" l="1"/>
  <c r="F41" i="4" s="1"/>
  <c r="J41" i="4"/>
  <c r="E43" i="4"/>
  <c r="F43" i="4" s="1"/>
  <c r="G43" i="4" s="1"/>
  <c r="H43" i="4" s="1"/>
  <c r="E42" i="4"/>
  <c r="F42" i="4" s="1"/>
  <c r="G42" i="4" s="1"/>
  <c r="H42" i="4" s="1"/>
  <c r="E44" i="4"/>
  <c r="F44" i="4" s="1"/>
  <c r="G44" i="4" s="1"/>
  <c r="H44" i="4" s="1"/>
  <c r="E45" i="4"/>
  <c r="F45" i="4" s="1"/>
  <c r="G45" i="4" s="1"/>
  <c r="H45" i="4" s="1"/>
  <c r="E46" i="4"/>
  <c r="F46" i="4" s="1"/>
  <c r="G46" i="4" s="1"/>
  <c r="H46" i="4" s="1"/>
  <c r="E47" i="4"/>
  <c r="F47" i="4" s="1"/>
  <c r="G47" i="4" s="1"/>
  <c r="H47" i="4" s="1"/>
  <c r="E52" i="4"/>
  <c r="F52" i="4" s="1"/>
  <c r="G52" i="4" s="1"/>
  <c r="H52" i="4" s="1"/>
  <c r="E50" i="4"/>
  <c r="F50" i="4" s="1"/>
  <c r="G50" i="4" s="1"/>
  <c r="H50" i="4" s="1"/>
  <c r="E57" i="4"/>
  <c r="F57" i="4" s="1"/>
  <c r="G57" i="4" s="1"/>
  <c r="H57" i="4" s="1"/>
  <c r="E54" i="4"/>
  <c r="F54" i="4" s="1"/>
  <c r="G54" i="4" s="1"/>
  <c r="H54" i="4" s="1"/>
  <c r="E49" i="4"/>
  <c r="F49" i="4" s="1"/>
  <c r="G49" i="4" s="1"/>
  <c r="H49" i="4" s="1"/>
  <c r="E56" i="4"/>
  <c r="F56" i="4" s="1"/>
  <c r="G56" i="4" s="1"/>
  <c r="H56" i="4" s="1"/>
  <c r="E55" i="4"/>
  <c r="F55" i="4" s="1"/>
  <c r="G55" i="4" s="1"/>
  <c r="H55" i="4" s="1"/>
  <c r="E48" i="4"/>
  <c r="F48" i="4" s="1"/>
  <c r="G48" i="4" s="1"/>
  <c r="H48" i="4" s="1"/>
  <c r="E51" i="4"/>
  <c r="F51" i="4" s="1"/>
  <c r="G51" i="4" s="1"/>
  <c r="H51" i="4" s="1"/>
  <c r="E53" i="4"/>
  <c r="F53" i="4" s="1"/>
  <c r="G53" i="4" s="1"/>
  <c r="H53" i="4" s="1"/>
  <c r="E58" i="4"/>
  <c r="F58" i="4" s="1"/>
  <c r="G58" i="4" s="1"/>
  <c r="H58" i="4" s="1"/>
  <c r="E59" i="4"/>
  <c r="F59" i="4" s="1"/>
  <c r="G59" i="4" s="1"/>
  <c r="H59" i="4" s="1"/>
  <c r="A61" i="4"/>
  <c r="C60" i="4"/>
  <c r="B60" i="4"/>
  <c r="D60" i="4"/>
  <c r="E60" i="4" s="1"/>
  <c r="F60" i="4" s="1"/>
  <c r="G60" i="4" s="1"/>
  <c r="H60" i="4" s="1"/>
  <c r="A62" i="4" l="1"/>
  <c r="E61" i="4"/>
  <c r="F61" i="4" s="1"/>
  <c r="G61" i="4" s="1"/>
  <c r="H61" i="4" s="1"/>
  <c r="D61" i="4"/>
  <c r="C61" i="4"/>
  <c r="B61" i="4"/>
  <c r="G41" i="4"/>
  <c r="H41" i="4"/>
  <c r="A63" i="4" l="1"/>
  <c r="C62" i="4"/>
  <c r="B62" i="4"/>
  <c r="D62" i="4"/>
  <c r="E62" i="4" s="1"/>
  <c r="F62" i="4" s="1"/>
  <c r="G62" i="4" s="1"/>
  <c r="H62" i="4" s="1"/>
  <c r="A64" i="4" l="1"/>
  <c r="E63" i="4"/>
  <c r="F63" i="4" s="1"/>
  <c r="G63" i="4" s="1"/>
  <c r="H63" i="4" s="1"/>
  <c r="D63" i="4"/>
  <c r="C63" i="4"/>
  <c r="B63" i="4"/>
  <c r="A65" i="4" l="1"/>
  <c r="C64" i="4"/>
  <c r="B64" i="4"/>
  <c r="D64" i="4"/>
  <c r="E64" i="4" s="1"/>
  <c r="F64" i="4" s="1"/>
  <c r="G64" i="4" s="1"/>
  <c r="H64" i="4" s="1"/>
  <c r="A66" i="4" l="1"/>
  <c r="E65" i="4"/>
  <c r="F65" i="4" s="1"/>
  <c r="G65" i="4" s="1"/>
  <c r="H65" i="4" s="1"/>
  <c r="D65" i="4"/>
  <c r="C65" i="4"/>
  <c r="B65" i="4"/>
  <c r="A67" i="4" l="1"/>
  <c r="C66" i="4"/>
  <c r="B66" i="4"/>
  <c r="D66" i="4"/>
  <c r="E66" i="4" s="1"/>
  <c r="F66" i="4" s="1"/>
  <c r="G66" i="4" s="1"/>
  <c r="H66" i="4" s="1"/>
  <c r="A68" i="4" l="1"/>
  <c r="E67" i="4"/>
  <c r="F67" i="4" s="1"/>
  <c r="G67" i="4" s="1"/>
  <c r="H67" i="4" s="1"/>
  <c r="D67" i="4"/>
  <c r="C67" i="4"/>
  <c r="B67" i="4"/>
  <c r="A69" i="4" l="1"/>
  <c r="C68" i="4"/>
  <c r="B68" i="4"/>
  <c r="D68" i="4"/>
  <c r="E68" i="4" s="1"/>
  <c r="F68" i="4" s="1"/>
  <c r="G68" i="4" s="1"/>
  <c r="H68" i="4" s="1"/>
  <c r="A70" i="4" l="1"/>
  <c r="D69" i="4"/>
  <c r="E69" i="4" s="1"/>
  <c r="F69" i="4" s="1"/>
  <c r="G69" i="4" s="1"/>
  <c r="H69" i="4" s="1"/>
  <c r="C69" i="4"/>
  <c r="B69" i="4"/>
  <c r="A71" i="4" l="1"/>
  <c r="C70" i="4"/>
  <c r="B70" i="4"/>
  <c r="D70" i="4"/>
  <c r="E70" i="4" s="1"/>
  <c r="F70" i="4" s="1"/>
  <c r="G70" i="4" s="1"/>
  <c r="H70" i="4" s="1"/>
  <c r="A72" i="4" l="1"/>
  <c r="E71" i="4"/>
  <c r="F71" i="4" s="1"/>
  <c r="G71" i="4" s="1"/>
  <c r="H71" i="4" s="1"/>
  <c r="D71" i="4"/>
  <c r="C71" i="4"/>
  <c r="B71" i="4"/>
  <c r="A73" i="4" l="1"/>
  <c r="C72" i="4"/>
  <c r="B72" i="4"/>
  <c r="D72" i="4"/>
  <c r="E72" i="4" s="1"/>
  <c r="F72" i="4" s="1"/>
  <c r="G72" i="4" s="1"/>
  <c r="H72" i="4" s="1"/>
  <c r="A74" i="4" l="1"/>
  <c r="E73" i="4"/>
  <c r="F73" i="4" s="1"/>
  <c r="G73" i="4" s="1"/>
  <c r="H73" i="4" s="1"/>
  <c r="D73" i="4"/>
  <c r="C73" i="4"/>
  <c r="B73" i="4"/>
  <c r="A75" i="4" l="1"/>
  <c r="C74" i="4"/>
  <c r="B74" i="4"/>
  <c r="D74" i="4"/>
  <c r="E74" i="4" s="1"/>
  <c r="F74" i="4" s="1"/>
  <c r="G74" i="4" s="1"/>
  <c r="H74" i="4" s="1"/>
  <c r="A76" i="4" l="1"/>
  <c r="D75" i="4"/>
  <c r="E75" i="4" s="1"/>
  <c r="F75" i="4" s="1"/>
  <c r="G75" i="4" s="1"/>
  <c r="H75" i="4" s="1"/>
  <c r="C75" i="4"/>
  <c r="B75" i="4"/>
  <c r="A77" i="4" l="1"/>
  <c r="C76" i="4"/>
  <c r="B76" i="4"/>
  <c r="D76" i="4"/>
  <c r="E76" i="4" s="1"/>
  <c r="F76" i="4" s="1"/>
  <c r="G76" i="4" s="1"/>
  <c r="H76" i="4" s="1"/>
  <c r="A78" i="4" l="1"/>
  <c r="E77" i="4"/>
  <c r="F77" i="4" s="1"/>
  <c r="G77" i="4" s="1"/>
  <c r="H77" i="4" s="1"/>
  <c r="D77" i="4"/>
  <c r="C77" i="4"/>
  <c r="B77" i="4"/>
  <c r="A79" i="4" l="1"/>
  <c r="C78" i="4"/>
  <c r="B78" i="4"/>
  <c r="D78" i="4"/>
  <c r="E78" i="4" s="1"/>
  <c r="F78" i="4" s="1"/>
  <c r="G78" i="4" s="1"/>
  <c r="H78" i="4" s="1"/>
  <c r="A80" i="4" l="1"/>
  <c r="D79" i="4"/>
  <c r="E79" i="4" s="1"/>
  <c r="F79" i="4" s="1"/>
  <c r="G79" i="4" s="1"/>
  <c r="H79" i="4" s="1"/>
  <c r="C79" i="4"/>
  <c r="B79" i="4"/>
  <c r="A81" i="4" l="1"/>
  <c r="C80" i="4"/>
  <c r="B80" i="4"/>
  <c r="D80" i="4"/>
  <c r="E80" i="4" s="1"/>
  <c r="F80" i="4" s="1"/>
  <c r="G80" i="4" s="1"/>
  <c r="H80" i="4" s="1"/>
  <c r="A82" i="4" l="1"/>
  <c r="D81" i="4"/>
  <c r="E81" i="4" s="1"/>
  <c r="F81" i="4" s="1"/>
  <c r="G81" i="4" s="1"/>
  <c r="H81" i="4" s="1"/>
  <c r="C81" i="4"/>
  <c r="B81" i="4"/>
  <c r="A83" i="4" l="1"/>
  <c r="C82" i="4"/>
  <c r="B82" i="4"/>
  <c r="D82" i="4"/>
  <c r="E82" i="4" s="1"/>
  <c r="F82" i="4" s="1"/>
  <c r="G82" i="4" s="1"/>
  <c r="H82" i="4" s="1"/>
  <c r="A84" i="4" l="1"/>
  <c r="D83" i="4"/>
  <c r="E83" i="4" s="1"/>
  <c r="F83" i="4" s="1"/>
  <c r="G83" i="4" s="1"/>
  <c r="H83" i="4" s="1"/>
  <c r="C83" i="4"/>
  <c r="B83" i="4"/>
  <c r="A85" i="4" l="1"/>
  <c r="C84" i="4"/>
  <c r="B84" i="4"/>
  <c r="D84" i="4"/>
  <c r="E84" i="4" s="1"/>
  <c r="F84" i="4" s="1"/>
  <c r="G84" i="4" s="1"/>
  <c r="H84" i="4" s="1"/>
  <c r="A86" i="4" l="1"/>
  <c r="D85" i="4"/>
  <c r="E85" i="4" s="1"/>
  <c r="F85" i="4" s="1"/>
  <c r="G85" i="4" s="1"/>
  <c r="H85" i="4" s="1"/>
  <c r="C85" i="4"/>
  <c r="B85" i="4"/>
  <c r="A87" i="4" l="1"/>
  <c r="C86" i="4"/>
  <c r="B86" i="4"/>
  <c r="D86" i="4"/>
  <c r="E86" i="4" s="1"/>
  <c r="F86" i="4" s="1"/>
  <c r="G86" i="4" s="1"/>
  <c r="H86" i="4" s="1"/>
  <c r="A88" i="4" l="1"/>
  <c r="E87" i="4"/>
  <c r="F87" i="4" s="1"/>
  <c r="G87" i="4" s="1"/>
  <c r="H87" i="4" s="1"/>
  <c r="D87" i="4"/>
  <c r="C87" i="4"/>
  <c r="B87" i="4"/>
  <c r="A89" i="4" l="1"/>
  <c r="C88" i="4"/>
  <c r="B88" i="4"/>
  <c r="D88" i="4"/>
  <c r="E88" i="4" s="1"/>
  <c r="F88" i="4" s="1"/>
  <c r="G88" i="4" s="1"/>
  <c r="H88" i="4" s="1"/>
  <c r="A90" i="4" l="1"/>
  <c r="E89" i="4"/>
  <c r="F89" i="4" s="1"/>
  <c r="G89" i="4" s="1"/>
  <c r="H89" i="4" s="1"/>
  <c r="D89" i="4"/>
  <c r="C89" i="4"/>
  <c r="B89" i="4"/>
  <c r="A91" i="4" l="1"/>
  <c r="C90" i="4"/>
  <c r="B90" i="4"/>
  <c r="D90" i="4"/>
  <c r="E90" i="4" s="1"/>
  <c r="F90" i="4" s="1"/>
  <c r="G90" i="4" s="1"/>
  <c r="H90" i="4" s="1"/>
  <c r="A92" i="4" l="1"/>
  <c r="E91" i="4"/>
  <c r="F91" i="4" s="1"/>
  <c r="G91" i="4" s="1"/>
  <c r="H91" i="4" s="1"/>
  <c r="D91" i="4"/>
  <c r="C91" i="4"/>
  <c r="B91" i="4"/>
  <c r="A93" i="4" l="1"/>
  <c r="C92" i="4"/>
  <c r="B92" i="4"/>
  <c r="D92" i="4"/>
  <c r="E92" i="4" s="1"/>
  <c r="F92" i="4" s="1"/>
  <c r="G92" i="4" s="1"/>
  <c r="H92" i="4" s="1"/>
  <c r="A94" i="4" l="1"/>
  <c r="E93" i="4"/>
  <c r="F93" i="4" s="1"/>
  <c r="G93" i="4" s="1"/>
  <c r="H93" i="4" s="1"/>
  <c r="D93" i="4"/>
  <c r="C93" i="4"/>
  <c r="B93" i="4"/>
  <c r="A95" i="4" l="1"/>
  <c r="C94" i="4"/>
  <c r="B94" i="4"/>
  <c r="D94" i="4"/>
  <c r="E94" i="4" s="1"/>
  <c r="F94" i="4" s="1"/>
  <c r="G94" i="4" s="1"/>
  <c r="H94" i="4" s="1"/>
  <c r="A96" i="4" l="1"/>
  <c r="E95" i="4"/>
  <c r="F95" i="4" s="1"/>
  <c r="G95" i="4" s="1"/>
  <c r="H95" i="4" s="1"/>
  <c r="D95" i="4"/>
  <c r="C95" i="4"/>
  <c r="B95" i="4"/>
  <c r="A97" i="4" l="1"/>
  <c r="C96" i="4"/>
  <c r="B96" i="4"/>
  <c r="D96" i="4"/>
  <c r="E96" i="4" s="1"/>
  <c r="F96" i="4" s="1"/>
  <c r="G96" i="4" s="1"/>
  <c r="H96" i="4" s="1"/>
  <c r="A98" i="4" l="1"/>
  <c r="E97" i="4"/>
  <c r="F97" i="4" s="1"/>
  <c r="G97" i="4" s="1"/>
  <c r="H97" i="4" s="1"/>
  <c r="D97" i="4"/>
  <c r="C97" i="4"/>
  <c r="B97" i="4"/>
  <c r="A99" i="4" l="1"/>
  <c r="C98" i="4"/>
  <c r="B98" i="4"/>
  <c r="D98" i="4"/>
  <c r="E98" i="4" s="1"/>
  <c r="F98" i="4" s="1"/>
  <c r="G98" i="4" s="1"/>
  <c r="H98" i="4" s="1"/>
  <c r="A100" i="4" l="1"/>
  <c r="D99" i="4"/>
  <c r="E99" i="4" s="1"/>
  <c r="F99" i="4" s="1"/>
  <c r="G99" i="4" s="1"/>
  <c r="H99" i="4" s="1"/>
  <c r="C99" i="4"/>
  <c r="B99" i="4"/>
  <c r="A101" i="4" l="1"/>
  <c r="C100" i="4"/>
  <c r="B100" i="4"/>
  <c r="D100" i="4"/>
  <c r="E100" i="4" s="1"/>
  <c r="F100" i="4" s="1"/>
  <c r="G100" i="4" s="1"/>
  <c r="H100" i="4" s="1"/>
  <c r="A102" i="4" l="1"/>
  <c r="E101" i="4"/>
  <c r="F101" i="4" s="1"/>
  <c r="G101" i="4" s="1"/>
  <c r="H101" i="4" s="1"/>
  <c r="D101" i="4"/>
  <c r="C101" i="4"/>
  <c r="B101" i="4"/>
  <c r="A103" i="4" l="1"/>
  <c r="C102" i="4"/>
  <c r="B102" i="4"/>
  <c r="D102" i="4"/>
  <c r="E102" i="4" s="1"/>
  <c r="F102" i="4" s="1"/>
  <c r="G102" i="4" s="1"/>
  <c r="H102" i="4" s="1"/>
  <c r="A104" i="4" l="1"/>
  <c r="E103" i="4"/>
  <c r="F103" i="4" s="1"/>
  <c r="G103" i="4" s="1"/>
  <c r="H103" i="4" s="1"/>
  <c r="D103" i="4"/>
  <c r="C103" i="4"/>
  <c r="B103" i="4"/>
  <c r="A105" i="4" l="1"/>
  <c r="C104" i="4"/>
  <c r="B104" i="4"/>
  <c r="D104" i="4"/>
  <c r="E104" i="4" s="1"/>
  <c r="F104" i="4" s="1"/>
  <c r="G104" i="4" s="1"/>
  <c r="H104" i="4" s="1"/>
  <c r="A106" i="4" l="1"/>
  <c r="E105" i="4"/>
  <c r="F105" i="4" s="1"/>
  <c r="G105" i="4" s="1"/>
  <c r="H105" i="4" s="1"/>
  <c r="D105" i="4"/>
  <c r="C105" i="4"/>
  <c r="B105" i="4"/>
  <c r="A107" i="4" l="1"/>
  <c r="C106" i="4"/>
  <c r="B106" i="4"/>
  <c r="D106" i="4"/>
  <c r="E106" i="4" s="1"/>
  <c r="F106" i="4" s="1"/>
  <c r="G106" i="4" s="1"/>
  <c r="H106" i="4" s="1"/>
  <c r="A108" i="4" l="1"/>
  <c r="D107" i="4"/>
  <c r="E107" i="4" s="1"/>
  <c r="F107" i="4" s="1"/>
  <c r="G107" i="4" s="1"/>
  <c r="H107" i="4" s="1"/>
  <c r="C107" i="4"/>
  <c r="B107" i="4"/>
  <c r="A109" i="4" l="1"/>
  <c r="C108" i="4"/>
  <c r="B108" i="4"/>
  <c r="D108" i="4"/>
  <c r="E108" i="4" s="1"/>
  <c r="F108" i="4" s="1"/>
  <c r="G108" i="4" s="1"/>
  <c r="H108" i="4" s="1"/>
  <c r="A110" i="4" l="1"/>
  <c r="D109" i="4"/>
  <c r="E109" i="4" s="1"/>
  <c r="F109" i="4" s="1"/>
  <c r="G109" i="4" s="1"/>
  <c r="H109" i="4" s="1"/>
  <c r="C109" i="4"/>
  <c r="B109" i="4"/>
  <c r="A111" i="4" l="1"/>
  <c r="C110" i="4"/>
  <c r="B110" i="4"/>
  <c r="D110" i="4"/>
  <c r="E110" i="4" s="1"/>
  <c r="F110" i="4" s="1"/>
  <c r="G110" i="4" s="1"/>
  <c r="H110" i="4" s="1"/>
  <c r="E111" i="4" l="1"/>
  <c r="F111" i="4" s="1"/>
  <c r="G111" i="4" s="1"/>
  <c r="H111" i="4" s="1"/>
  <c r="D111" i="4"/>
  <c r="A112" i="4"/>
  <c r="C111" i="4"/>
  <c r="B111" i="4"/>
  <c r="B112" i="4" l="1"/>
  <c r="C112" i="4"/>
  <c r="E112" i="4"/>
  <c r="F112" i="4" s="1"/>
  <c r="G112" i="4" s="1"/>
  <c r="H112" i="4" s="1"/>
  <c r="D112" i="4"/>
  <c r="A113" i="4"/>
  <c r="B113" i="4" l="1"/>
  <c r="D113" i="4"/>
  <c r="E113" i="4" s="1"/>
  <c r="F113" i="4" s="1"/>
  <c r="G113" i="4" s="1"/>
  <c r="H113" i="4" s="1"/>
  <c r="A114" i="4"/>
  <c r="C113" i="4"/>
  <c r="B114" i="4" l="1"/>
  <c r="C114" i="4"/>
  <c r="D114" i="4"/>
  <c r="E114" i="4" s="1"/>
  <c r="F114" i="4" s="1"/>
  <c r="G114" i="4" s="1"/>
  <c r="H114" i="4" s="1"/>
  <c r="A115" i="4"/>
  <c r="F115" i="4" l="1"/>
  <c r="G115" i="4" s="1"/>
  <c r="H115" i="4" s="1"/>
  <c r="B115" i="4"/>
  <c r="E115" i="4"/>
  <c r="A116" i="4"/>
  <c r="C115" i="4"/>
  <c r="D115" i="4"/>
  <c r="B116" i="4" l="1"/>
  <c r="C116" i="4"/>
  <c r="A117" i="4"/>
  <c r="D116" i="4"/>
  <c r="E116" i="4" s="1"/>
  <c r="F116" i="4" s="1"/>
  <c r="G116" i="4" s="1"/>
  <c r="H116" i="4" s="1"/>
  <c r="B117" i="4" l="1"/>
  <c r="D117" i="4"/>
  <c r="E117" i="4" s="1"/>
  <c r="F117" i="4" s="1"/>
  <c r="G117" i="4" s="1"/>
  <c r="H117" i="4" s="1"/>
  <c r="C117" i="4"/>
  <c r="A118" i="4"/>
  <c r="B118" i="4" l="1"/>
  <c r="C118" i="4"/>
  <c r="E118" i="4"/>
  <c r="F118" i="4" s="1"/>
  <c r="G118" i="4" s="1"/>
  <c r="H118" i="4" s="1"/>
  <c r="A119" i="4"/>
  <c r="D118" i="4"/>
  <c r="B119" i="4" l="1"/>
  <c r="D119" i="4"/>
  <c r="E119" i="4" s="1"/>
  <c r="F119" i="4" s="1"/>
  <c r="G119" i="4" s="1"/>
  <c r="H119" i="4" s="1"/>
  <c r="C119" i="4"/>
  <c r="A120" i="4"/>
  <c r="B120" i="4" l="1"/>
  <c r="C120" i="4"/>
  <c r="E120" i="4"/>
  <c r="F120" i="4" s="1"/>
  <c r="G120" i="4" s="1"/>
  <c r="H120" i="4" s="1"/>
  <c r="D120" i="4"/>
  <c r="A121" i="4"/>
  <c r="B121" i="4" l="1"/>
  <c r="D121" i="4"/>
  <c r="E121" i="4" s="1"/>
  <c r="F121" i="4" s="1"/>
  <c r="G121" i="4" s="1"/>
  <c r="H121" i="4" s="1"/>
  <c r="A122" i="4"/>
  <c r="C121" i="4"/>
  <c r="B122" i="4" l="1"/>
  <c r="C122" i="4"/>
  <c r="D122" i="4"/>
  <c r="E122" i="4" s="1"/>
  <c r="F122" i="4" s="1"/>
  <c r="G122" i="4" s="1"/>
  <c r="H122" i="4" s="1"/>
  <c r="A123" i="4"/>
  <c r="F123" i="4" l="1"/>
  <c r="G123" i="4" s="1"/>
  <c r="H123" i="4" s="1"/>
  <c r="B123" i="4"/>
  <c r="E123" i="4"/>
  <c r="A124" i="4"/>
  <c r="C123" i="4"/>
  <c r="D123" i="4"/>
  <c r="B124" i="4" l="1"/>
  <c r="C124" i="4"/>
  <c r="A125" i="4"/>
  <c r="D124" i="4"/>
  <c r="E124" i="4" s="1"/>
  <c r="F124" i="4" s="1"/>
  <c r="G124" i="4" s="1"/>
  <c r="H124" i="4" s="1"/>
  <c r="B125" i="4" l="1"/>
  <c r="E125" i="4"/>
  <c r="F125" i="4" s="1"/>
  <c r="G125" i="4" s="1"/>
  <c r="H125" i="4" s="1"/>
  <c r="A126" i="4"/>
  <c r="D125" i="4"/>
  <c r="C125" i="4"/>
  <c r="B126" i="4" l="1"/>
  <c r="C126" i="4"/>
  <c r="E126" i="4"/>
  <c r="F126" i="4" s="1"/>
  <c r="G126" i="4" s="1"/>
  <c r="H126" i="4" s="1"/>
  <c r="D126" i="4"/>
  <c r="A127" i="4"/>
  <c r="B127" i="4" l="1"/>
  <c r="D127" i="4"/>
  <c r="E127" i="4" s="1"/>
  <c r="F127" i="4" s="1"/>
  <c r="G127" i="4" s="1"/>
  <c r="H127" i="4" s="1"/>
  <c r="A128" i="4"/>
  <c r="C127" i="4"/>
  <c r="B128" i="4" l="1"/>
  <c r="C128" i="4"/>
  <c r="D128" i="4"/>
  <c r="E128" i="4" s="1"/>
  <c r="F128" i="4" s="1"/>
  <c r="G128" i="4" s="1"/>
  <c r="H128" i="4" s="1"/>
  <c r="A129" i="4"/>
  <c r="B129" i="4" l="1"/>
  <c r="D129" i="4"/>
  <c r="E129" i="4" s="1"/>
  <c r="F129" i="4" s="1"/>
  <c r="G129" i="4" s="1"/>
  <c r="H129" i="4" s="1"/>
  <c r="A130" i="4"/>
  <c r="C129" i="4"/>
  <c r="B130" i="4" l="1"/>
  <c r="C130" i="4"/>
  <c r="D130" i="4"/>
  <c r="E130" i="4" s="1"/>
  <c r="F130" i="4" s="1"/>
  <c r="G130" i="4" s="1"/>
  <c r="H130" i="4" s="1"/>
  <c r="A131" i="4"/>
  <c r="F131" i="4" l="1"/>
  <c r="G131" i="4" s="1"/>
  <c r="H131" i="4" s="1"/>
  <c r="B131" i="4"/>
  <c r="E131" i="4"/>
  <c r="A132" i="4"/>
  <c r="C131" i="4"/>
  <c r="D131" i="4"/>
  <c r="B132" i="4" l="1"/>
  <c r="C132" i="4"/>
  <c r="A133" i="4"/>
  <c r="E132" i="4"/>
  <c r="F132" i="4" s="1"/>
  <c r="G132" i="4" s="1"/>
  <c r="H132" i="4" s="1"/>
  <c r="D132" i="4"/>
  <c r="B133" i="4" l="1"/>
  <c r="D133" i="4"/>
  <c r="E133" i="4" s="1"/>
  <c r="F133" i="4" s="1"/>
  <c r="G133" i="4" s="1"/>
  <c r="H133" i="4" s="1"/>
  <c r="C133" i="4"/>
  <c r="A134" i="4"/>
  <c r="F134" i="4" l="1"/>
  <c r="G134" i="4" s="1"/>
  <c r="H134" i="4" s="1"/>
  <c r="B134" i="4"/>
  <c r="C134" i="4"/>
  <c r="E134" i="4"/>
  <c r="A135" i="4"/>
  <c r="D134" i="4"/>
  <c r="B135" i="4" l="1"/>
  <c r="D135" i="4"/>
  <c r="E135" i="4" s="1"/>
  <c r="F135" i="4" s="1"/>
  <c r="G135" i="4" s="1"/>
  <c r="H135" i="4" s="1"/>
  <c r="C135" i="4"/>
  <c r="A136" i="4"/>
  <c r="B136" i="4" l="1"/>
  <c r="C136" i="4"/>
  <c r="E136" i="4"/>
  <c r="F136" i="4" s="1"/>
  <c r="G136" i="4" s="1"/>
  <c r="H136" i="4" s="1"/>
  <c r="D136" i="4"/>
  <c r="A137" i="4"/>
  <c r="B137" i="4" l="1"/>
  <c r="D137" i="4"/>
  <c r="E137" i="4" s="1"/>
  <c r="F137" i="4" s="1"/>
  <c r="G137" i="4" s="1"/>
  <c r="H137" i="4" s="1"/>
  <c r="A138" i="4"/>
  <c r="C137" i="4"/>
  <c r="F138" i="4" l="1"/>
  <c r="G138" i="4" s="1"/>
  <c r="H138" i="4" s="1"/>
  <c r="B138" i="4"/>
  <c r="C138" i="4"/>
  <c r="D138" i="4"/>
  <c r="A139" i="4"/>
  <c r="E138" i="4"/>
  <c r="F139" i="4" l="1"/>
  <c r="G139" i="4" s="1"/>
  <c r="H139" i="4" s="1"/>
  <c r="B139" i="4"/>
  <c r="E139" i="4"/>
  <c r="A140" i="4"/>
  <c r="C139" i="4"/>
  <c r="D139" i="4"/>
  <c r="F140" i="4" l="1"/>
  <c r="G140" i="4" s="1"/>
  <c r="H140" i="4" s="1"/>
  <c r="B140" i="4"/>
  <c r="C140" i="4"/>
  <c r="A141" i="4"/>
  <c r="E140" i="4"/>
  <c r="D140" i="4"/>
  <c r="F141" i="4" l="1"/>
  <c r="G141" i="4" s="1"/>
  <c r="H141" i="4" s="1"/>
  <c r="B141" i="4"/>
  <c r="E141" i="4"/>
  <c r="A142" i="4"/>
  <c r="D141" i="4"/>
  <c r="C141" i="4"/>
  <c r="F142" i="4" l="1"/>
  <c r="G142" i="4" s="1"/>
  <c r="H142" i="4" s="1"/>
  <c r="B142" i="4"/>
  <c r="C142" i="4"/>
  <c r="E142" i="4"/>
  <c r="D142" i="4"/>
  <c r="A143" i="4"/>
  <c r="F143" i="4" l="1"/>
  <c r="G143" i="4" s="1"/>
  <c r="H143" i="4" s="1"/>
  <c r="B143" i="4"/>
  <c r="E143" i="4"/>
  <c r="D143" i="4"/>
  <c r="A144" i="4"/>
  <c r="C143" i="4"/>
  <c r="F144" i="4" l="1"/>
  <c r="G144" i="4" s="1"/>
  <c r="H144" i="4" s="1"/>
  <c r="B144" i="4"/>
  <c r="C144" i="4"/>
  <c r="E144" i="4"/>
  <c r="D144" i="4"/>
  <c r="A145" i="4"/>
  <c r="F145" i="4" l="1"/>
  <c r="G145" i="4" s="1"/>
  <c r="H145" i="4" s="1"/>
  <c r="B145" i="4"/>
  <c r="E145" i="4"/>
  <c r="D145" i="4"/>
  <c r="A146" i="4"/>
  <c r="C145" i="4"/>
  <c r="F146" i="4" l="1"/>
  <c r="G146" i="4" s="1"/>
  <c r="H146" i="4" s="1"/>
  <c r="B146" i="4"/>
  <c r="C146" i="4"/>
  <c r="D146" i="4"/>
  <c r="A147" i="4"/>
  <c r="E146" i="4"/>
  <c r="F147" i="4" l="1"/>
  <c r="G147" i="4" s="1"/>
  <c r="H147" i="4" s="1"/>
  <c r="B147" i="4"/>
  <c r="E147" i="4"/>
  <c r="A148" i="4"/>
  <c r="C147" i="4"/>
  <c r="D147" i="4"/>
  <c r="F148" i="4" l="1"/>
  <c r="G148" i="4" s="1"/>
  <c r="H148" i="4" s="1"/>
  <c r="B148" i="4"/>
  <c r="C148" i="4"/>
  <c r="A149" i="4"/>
  <c r="E148" i="4"/>
  <c r="D148" i="4"/>
  <c r="F149" i="4" l="1"/>
  <c r="G149" i="4" s="1"/>
  <c r="H149" i="4" s="1"/>
  <c r="B149" i="4"/>
  <c r="E149" i="4"/>
  <c r="D149" i="4"/>
  <c r="C149" i="4"/>
  <c r="A150" i="4"/>
  <c r="F150" i="4" l="1"/>
  <c r="G150" i="4" s="1"/>
  <c r="H150" i="4" s="1"/>
  <c r="B150" i="4"/>
  <c r="C150" i="4"/>
  <c r="E150" i="4"/>
  <c r="A151" i="4"/>
  <c r="D150" i="4"/>
  <c r="F151" i="4" l="1"/>
  <c r="G151" i="4" s="1"/>
  <c r="H151" i="4" s="1"/>
  <c r="B151" i="4"/>
  <c r="E151" i="4"/>
  <c r="D151" i="4"/>
  <c r="C151" i="4"/>
  <c r="A152" i="4"/>
  <c r="F152" i="4" l="1"/>
  <c r="G152" i="4" s="1"/>
  <c r="H152" i="4" s="1"/>
  <c r="B152" i="4"/>
  <c r="C152" i="4"/>
  <c r="E152" i="4"/>
  <c r="D152" i="4"/>
  <c r="A153" i="4"/>
  <c r="F153" i="4" l="1"/>
  <c r="G153" i="4" s="1"/>
  <c r="H153" i="4" s="1"/>
  <c r="B153" i="4"/>
  <c r="E153" i="4"/>
  <c r="D153" i="4"/>
  <c r="C153" i="4"/>
</calcChain>
</file>

<file path=xl/sharedStrings.xml><?xml version="1.0" encoding="utf-8"?>
<sst xmlns="http://schemas.openxmlformats.org/spreadsheetml/2006/main" count="141" uniqueCount="89">
  <si>
    <t>Inversión</t>
  </si>
  <si>
    <t>Financiación</t>
  </si>
  <si>
    <t>Depósito de alquiler</t>
  </si>
  <si>
    <t>Obras de reforma local</t>
  </si>
  <si>
    <t>Compras iniciales</t>
  </si>
  <si>
    <t>TOTAL</t>
  </si>
  <si>
    <t>Ahorros</t>
  </si>
  <si>
    <t>Capitalización de paro</t>
  </si>
  <si>
    <t>Préstamo</t>
  </si>
  <si>
    <t>Ingresos</t>
  </si>
  <si>
    <t>Facturación prevista</t>
  </si>
  <si>
    <t>Número de semanas de apertura anual</t>
  </si>
  <si>
    <t>Número medio de ventas semanal</t>
  </si>
  <si>
    <t>Importe medio de venta por cliente</t>
  </si>
  <si>
    <t>Número de ventas anuales</t>
  </si>
  <si>
    <t>Año 1</t>
  </si>
  <si>
    <t>Año 2</t>
  </si>
  <si>
    <t>Año 3</t>
  </si>
  <si>
    <t>Coste del ventas (60%)</t>
  </si>
  <si>
    <t>Margen bruto</t>
  </si>
  <si>
    <t>Gastos</t>
  </si>
  <si>
    <t>Alquiler local</t>
  </si>
  <si>
    <t>Suministros (agua, gas, electricidad)</t>
  </si>
  <si>
    <t>Publicidad, gestoría y otros gastos ctes.</t>
  </si>
  <si>
    <t>Sueldos</t>
  </si>
  <si>
    <t>Seguridad Social</t>
  </si>
  <si>
    <t>Total gastos corrientes</t>
  </si>
  <si>
    <t>EBITDA (margen bruto-gastos corrientes)</t>
  </si>
  <si>
    <t>Amortizaciones</t>
  </si>
  <si>
    <t>Gastos financieros</t>
  </si>
  <si>
    <t>Resultado bruto</t>
  </si>
  <si>
    <t>Resultado neto</t>
  </si>
  <si>
    <t>Cash-flow</t>
  </si>
  <si>
    <t>Franquicia anual</t>
  </si>
  <si>
    <t>Impuesto sobre Sociedades</t>
  </si>
  <si>
    <t>Caon inicial</t>
  </si>
  <si>
    <t>COBROS</t>
  </si>
  <si>
    <t>Periodo 1</t>
  </si>
  <si>
    <t>Periodo 2</t>
  </si>
  <si>
    <t>Periodo 3</t>
  </si>
  <si>
    <t>Periodo 4</t>
  </si>
  <si>
    <t>IVA repercutido</t>
  </si>
  <si>
    <t>Total cobrado</t>
  </si>
  <si>
    <t>Compras</t>
  </si>
  <si>
    <t>IVA soportado de compras</t>
  </si>
  <si>
    <t>Total facturas de compras</t>
  </si>
  <si>
    <t>IVA soportado de gastos</t>
  </si>
  <si>
    <t>Total pago de facturas</t>
  </si>
  <si>
    <t>Gastos corrientes</t>
  </si>
  <si>
    <t>Sueldos brutos</t>
  </si>
  <si>
    <t>Seguridad Social, cuota obrera</t>
  </si>
  <si>
    <t>IRPF</t>
  </si>
  <si>
    <t>Total sueldos netos</t>
  </si>
  <si>
    <t>Seguridad Social, cuota patronal</t>
  </si>
  <si>
    <t>Hacienda Pública IRPF</t>
  </si>
  <si>
    <t>IVA</t>
  </si>
  <si>
    <t>Total Administraciones</t>
  </si>
  <si>
    <t>IVA repercutido (9,828,00*3)=</t>
  </si>
  <si>
    <t>IVA soportado de compras (5.896,80*3)+(1.190,00*3)=</t>
  </si>
  <si>
    <t>Total IVA a liquidar</t>
  </si>
  <si>
    <t>Principal préstamo</t>
  </si>
  <si>
    <t>Intereses</t>
  </si>
  <si>
    <t>Total préstamo</t>
  </si>
  <si>
    <t>CUADRO DE AMORTIZACIÓN DE UN PRÉSTAMO</t>
  </si>
  <si>
    <t>Introducción de datos:</t>
  </si>
  <si>
    <t>Capital inicial:</t>
  </si>
  <si>
    <t>Tipo de interés nominal:</t>
  </si>
  <si>
    <t>Resultados:</t>
  </si>
  <si>
    <t>Plazo:</t>
  </si>
  <si>
    <t>Comisión de apertura:</t>
  </si>
  <si>
    <t>Periodicidad:</t>
  </si>
  <si>
    <t>Comisión de gestión:</t>
  </si>
  <si>
    <t>Capital efectivo:</t>
  </si>
  <si>
    <t>T.A.E. real</t>
  </si>
  <si>
    <t>Gastos fijos bancarios:</t>
  </si>
  <si>
    <t>Gastos adicionales:</t>
  </si>
  <si>
    <t>Comisión de cancelación anticipada</t>
  </si>
  <si>
    <t>Prepagable (1) o pospagable (0)</t>
  </si>
  <si>
    <t>Periodos de pago</t>
  </si>
  <si>
    <t xml:space="preserve">Cuota </t>
  </si>
  <si>
    <t>Pago de intereses</t>
  </si>
  <si>
    <t>Amortización del principal</t>
  </si>
  <si>
    <t>Amortización acumulada del principal</t>
  </si>
  <si>
    <t>Capital pendiente</t>
  </si>
  <si>
    <t>Importe de la comisión de cancelación</t>
  </si>
  <si>
    <t>Coste de cancelación</t>
  </si>
  <si>
    <t>Saldo inicial de tesorería</t>
  </si>
  <si>
    <t>PAGOS</t>
  </si>
  <si>
    <t>Saldo final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</si>
</sst>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#,##0_ ;\-#,##0\ "/>
    <numFmt numFmtId="166" formatCode="#,##0.00_ ;\-#,##0.00\ "/>
    <numFmt numFmtId="172" formatCode="_-* #,##0\ _p_t_a_-;\-* #,##0\ _p_t_a_-;_-* &quot;-&quot;\ _p_t_a_-;_-@_-"/>
    <numFmt numFmtId="173" formatCode="0.000%"/>
    <numFmt numFmtId="174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797FF"/>
        <bgColor indexed="64"/>
      </patternFill>
    </fill>
  </fills>
  <borders count="25">
    <border>
      <left/>
      <right/>
      <top/>
      <bottom/>
      <diagonal/>
    </border>
    <border>
      <left style="thin">
        <color rgb="FF6666FF"/>
      </left>
      <right style="thin">
        <color rgb="FF6666FF"/>
      </right>
      <top style="thin">
        <color rgb="FF6666FF"/>
      </top>
      <bottom style="thin">
        <color rgb="FF66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FF"/>
      </right>
      <top style="thin">
        <color rgb="FF6666FF"/>
      </top>
      <bottom style="thin">
        <color rgb="FF6666FF"/>
      </bottom>
      <diagonal/>
    </border>
    <border>
      <left/>
      <right/>
      <top/>
      <bottom style="thin">
        <color rgb="FF6666FF"/>
      </bottom>
      <diagonal/>
    </border>
    <border>
      <left/>
      <right/>
      <top style="thin">
        <color rgb="FF6666FF"/>
      </top>
      <bottom style="thin">
        <color rgb="FF6666FF"/>
      </bottom>
      <diagonal/>
    </border>
    <border>
      <left/>
      <right style="thin">
        <color rgb="FF6666FF"/>
      </right>
      <top/>
      <bottom/>
      <diagonal/>
    </border>
    <border>
      <left style="thin">
        <color rgb="FF6666FF"/>
      </left>
      <right/>
      <top style="thin">
        <color rgb="FF6666FF"/>
      </top>
      <bottom style="thin">
        <color rgb="FF6666FF"/>
      </bottom>
      <diagonal/>
    </border>
    <border>
      <left style="thin">
        <color rgb="FF6666FF"/>
      </left>
      <right style="thin">
        <color rgb="FF6666FF"/>
      </right>
      <top style="thin">
        <color rgb="FF6666FF"/>
      </top>
      <bottom/>
      <diagonal/>
    </border>
    <border>
      <left style="thin">
        <color rgb="FF6666FF"/>
      </left>
      <right style="thin">
        <color rgb="FF6666FF"/>
      </right>
      <top/>
      <bottom/>
      <diagonal/>
    </border>
    <border>
      <left style="thin">
        <color rgb="FF6666FF"/>
      </left>
      <right style="thin">
        <color rgb="FF6666FF"/>
      </right>
      <top/>
      <bottom style="thin">
        <color rgb="FF6666FF"/>
      </bottom>
      <diagonal/>
    </border>
    <border>
      <left style="thin">
        <color rgb="FF6666FF"/>
      </left>
      <right/>
      <top style="thin">
        <color rgb="FF6666FF"/>
      </top>
      <bottom/>
      <diagonal/>
    </border>
    <border>
      <left/>
      <right style="thin">
        <color rgb="FF6666FF"/>
      </right>
      <top style="thin">
        <color rgb="FF6666FF"/>
      </top>
      <bottom/>
      <diagonal/>
    </border>
    <border>
      <left style="thin">
        <color rgb="FF6666FF"/>
      </left>
      <right/>
      <top/>
      <bottom/>
      <diagonal/>
    </border>
    <border>
      <left style="thin">
        <color rgb="FF6666FF"/>
      </left>
      <right/>
      <top/>
      <bottom style="thin">
        <color rgb="FF6666FF"/>
      </bottom>
      <diagonal/>
    </border>
    <border>
      <left/>
      <right style="thin">
        <color rgb="FF6666FF"/>
      </right>
      <top/>
      <bottom style="thin">
        <color rgb="FF6666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4" fillId="2" borderId="1" xfId="1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Font="1" applyBorder="1"/>
    <xf numFmtId="0" fontId="3" fillId="0" borderId="8" xfId="0" applyFont="1" applyBorder="1"/>
    <xf numFmtId="0" fontId="3" fillId="0" borderId="13" xfId="0" applyFont="1" applyBorder="1"/>
    <xf numFmtId="0" fontId="3" fillId="0" borderId="6" xfId="0" applyFont="1" applyBorder="1"/>
    <xf numFmtId="164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/>
    <xf numFmtId="0" fontId="3" fillId="0" borderId="9" xfId="0" applyFont="1" applyBorder="1"/>
    <xf numFmtId="166" fontId="3" fillId="0" borderId="9" xfId="0" applyNumberFormat="1" applyFont="1" applyBorder="1"/>
    <xf numFmtId="164" fontId="3" fillId="2" borderId="7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left"/>
    </xf>
    <xf numFmtId="166" fontId="3" fillId="2" borderId="9" xfId="1" applyNumberFormat="1" applyFont="1" applyFill="1" applyBorder="1"/>
    <xf numFmtId="0" fontId="4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1" xfId="0" applyFont="1" applyBorder="1"/>
    <xf numFmtId="164" fontId="5" fillId="2" borderId="5" xfId="1" applyNumberFormat="1" applyFont="1" applyFill="1" applyBorder="1" applyAlignment="1">
      <alignment horizontal="left"/>
    </xf>
    <xf numFmtId="0" fontId="3" fillId="0" borderId="0" xfId="0" applyFont="1" applyBorder="1"/>
    <xf numFmtId="0" fontId="4" fillId="2" borderId="1" xfId="0" applyFont="1" applyFill="1" applyBorder="1"/>
    <xf numFmtId="166" fontId="3" fillId="0" borderId="1" xfId="1" applyNumberFormat="1" applyFont="1" applyBorder="1"/>
    <xf numFmtId="166" fontId="3" fillId="0" borderId="1" xfId="0" applyNumberFormat="1" applyFont="1" applyBorder="1"/>
    <xf numFmtId="0" fontId="4" fillId="0" borderId="1" xfId="0" applyFont="1" applyBorder="1"/>
    <xf numFmtId="166" fontId="4" fillId="0" borderId="9" xfId="1" applyNumberFormat="1" applyFont="1" applyBorder="1"/>
    <xf numFmtId="166" fontId="4" fillId="0" borderId="10" xfId="1" applyNumberFormat="1" applyFont="1" applyBorder="1"/>
    <xf numFmtId="0" fontId="4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166" fontId="3" fillId="0" borderId="8" xfId="0" applyNumberFormat="1" applyFont="1" applyBorder="1"/>
    <xf numFmtId="166" fontId="3" fillId="0" borderId="0" xfId="1" applyNumberFormat="1" applyFont="1" applyBorder="1"/>
    <xf numFmtId="0" fontId="3" fillId="0" borderId="4" xfId="0" applyFont="1" applyBorder="1"/>
    <xf numFmtId="166" fontId="3" fillId="0" borderId="4" xfId="1" applyNumberFormat="1" applyFont="1" applyBorder="1"/>
    <xf numFmtId="0" fontId="3" fillId="2" borderId="11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8" xfId="0" applyFont="1" applyBorder="1"/>
    <xf numFmtId="41" fontId="8" fillId="0" borderId="0" xfId="2" applyFont="1" applyBorder="1" applyAlignment="1">
      <alignment horizontal="center"/>
    </xf>
    <xf numFmtId="41" fontId="8" fillId="0" borderId="0" xfId="2" applyFont="1" applyAlignment="1">
      <alignment horizontal="center"/>
    </xf>
    <xf numFmtId="0" fontId="8" fillId="0" borderId="19" xfId="0" applyFont="1" applyBorder="1"/>
    <xf numFmtId="9" fontId="8" fillId="0" borderId="0" xfId="0" applyNumberFormat="1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173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/>
    <xf numFmtId="41" fontId="8" fillId="0" borderId="20" xfId="2" applyFont="1" applyBorder="1" applyAlignment="1">
      <alignment horizontal="center"/>
    </xf>
    <xf numFmtId="0" fontId="8" fillId="0" borderId="17" xfId="0" applyFont="1" applyBorder="1"/>
    <xf numFmtId="41" fontId="8" fillId="0" borderId="21" xfId="2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41" fontId="8" fillId="0" borderId="0" xfId="2" applyFont="1"/>
    <xf numFmtId="0" fontId="8" fillId="0" borderId="22" xfId="0" applyFont="1" applyBorder="1"/>
    <xf numFmtId="173" fontId="8" fillId="0" borderId="23" xfId="3" applyNumberFormat="1" applyFont="1" applyBorder="1" applyAlignment="1">
      <alignment horizontal="center"/>
    </xf>
    <xf numFmtId="174" fontId="8" fillId="0" borderId="0" xfId="0" applyNumberFormat="1" applyFont="1"/>
    <xf numFmtId="174" fontId="8" fillId="0" borderId="0" xfId="2" applyNumberFormat="1" applyFont="1"/>
    <xf numFmtId="0" fontId="9" fillId="0" borderId="0" xfId="0" applyFont="1"/>
    <xf numFmtId="0" fontId="8" fillId="0" borderId="24" xfId="0" applyFont="1" applyBorder="1"/>
    <xf numFmtId="0" fontId="8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41" fontId="8" fillId="0" borderId="2" xfId="2" applyFont="1" applyBorder="1" applyAlignment="1">
      <alignment horizontal="center"/>
    </xf>
    <xf numFmtId="41" fontId="8" fillId="0" borderId="2" xfId="2" applyFont="1" applyBorder="1" applyAlignment="1"/>
    <xf numFmtId="172" fontId="8" fillId="0" borderId="2" xfId="0" applyNumberFormat="1" applyFont="1" applyBorder="1" applyAlignment="1">
      <alignment horizontal="center"/>
    </xf>
    <xf numFmtId="172" fontId="8" fillId="0" borderId="0" xfId="0" applyNumberFormat="1" applyFont="1"/>
    <xf numFmtId="41" fontId="8" fillId="0" borderId="0" xfId="2" applyFont="1" applyAlignment="1"/>
    <xf numFmtId="41" fontId="6" fillId="0" borderId="2" xfId="2" applyFont="1" applyBorder="1" applyAlignment="1"/>
    <xf numFmtId="41" fontId="6" fillId="0" borderId="2" xfId="2" applyFont="1" applyBorder="1" applyAlignment="1">
      <alignment horizontal="center"/>
    </xf>
    <xf numFmtId="0" fontId="4" fillId="2" borderId="13" xfId="0" applyFont="1" applyFill="1" applyBorder="1"/>
    <xf numFmtId="0" fontId="4" fillId="2" borderId="6" xfId="0" applyFont="1" applyFill="1" applyBorder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66FF"/>
      <color rgb="FF97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8"/>
  <sheetViews>
    <sheetView workbookViewId="0">
      <selection activeCell="E2" sqref="E2"/>
    </sheetView>
  </sheetViews>
  <sheetFormatPr baseColWidth="10" defaultRowHeight="14.25" x14ac:dyDescent="0.2"/>
  <cols>
    <col min="1" max="2" width="11.42578125" style="1"/>
    <col min="3" max="3" width="26.5703125" style="1" customWidth="1"/>
    <col min="4" max="4" width="13.42578125" style="1" customWidth="1"/>
    <col min="5" max="5" width="25.5703125" style="1" customWidth="1"/>
    <col min="6" max="6" width="13" style="1" customWidth="1"/>
    <col min="7" max="16384" width="11.42578125" style="1"/>
  </cols>
  <sheetData>
    <row r="1" spans="3:7" x14ac:dyDescent="0.2">
      <c r="C1" s="25"/>
      <c r="D1" s="25"/>
      <c r="E1" s="3"/>
      <c r="F1" s="3"/>
      <c r="G1" s="3"/>
    </row>
    <row r="2" spans="3:7" x14ac:dyDescent="0.2">
      <c r="C2" s="26" t="s">
        <v>0</v>
      </c>
      <c r="D2" s="26"/>
      <c r="E2" s="26" t="s">
        <v>1</v>
      </c>
      <c r="F2" s="26"/>
      <c r="G2" s="3"/>
    </row>
    <row r="3" spans="3:7" x14ac:dyDescent="0.2">
      <c r="C3" s="23" t="s">
        <v>35</v>
      </c>
      <c r="D3" s="27">
        <v>10000</v>
      </c>
      <c r="E3" s="23" t="s">
        <v>6</v>
      </c>
      <c r="F3" s="27">
        <v>30000</v>
      </c>
      <c r="G3" s="3"/>
    </row>
    <row r="4" spans="3:7" x14ac:dyDescent="0.2">
      <c r="C4" s="23" t="s">
        <v>2</v>
      </c>
      <c r="D4" s="27">
        <v>3000</v>
      </c>
      <c r="E4" s="23" t="s">
        <v>7</v>
      </c>
      <c r="F4" s="27">
        <v>20000</v>
      </c>
      <c r="G4" s="3"/>
    </row>
    <row r="5" spans="3:7" x14ac:dyDescent="0.2">
      <c r="C5" s="23" t="s">
        <v>3</v>
      </c>
      <c r="D5" s="27">
        <v>60000</v>
      </c>
      <c r="E5" s="23" t="s">
        <v>8</v>
      </c>
      <c r="F5" s="27">
        <f>D7-F3-F4</f>
        <v>83000</v>
      </c>
      <c r="G5" s="3"/>
    </row>
    <row r="6" spans="3:7" x14ac:dyDescent="0.2">
      <c r="C6" s="23" t="s">
        <v>4</v>
      </c>
      <c r="D6" s="27">
        <v>60000</v>
      </c>
      <c r="E6" s="23"/>
      <c r="F6" s="28"/>
      <c r="G6" s="3"/>
    </row>
    <row r="7" spans="3:7" x14ac:dyDescent="0.2">
      <c r="C7" s="29" t="s">
        <v>5</v>
      </c>
      <c r="D7" s="27">
        <f>SUM(D3:D6)</f>
        <v>133000</v>
      </c>
      <c r="E7" s="29" t="s">
        <v>5</v>
      </c>
      <c r="F7" s="27">
        <f>SUM(F3:F5)</f>
        <v>133000</v>
      </c>
      <c r="G7" s="3"/>
    </row>
    <row r="8" spans="3:7" x14ac:dyDescent="0.2">
      <c r="C8" s="3"/>
      <c r="D8" s="3"/>
      <c r="E8" s="3"/>
      <c r="F8" s="3"/>
      <c r="G8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7"/>
  <sheetViews>
    <sheetView showGridLines="0" topLeftCell="A7" workbookViewId="0">
      <selection activeCell="B5" sqref="B5:F37"/>
    </sheetView>
  </sheetViews>
  <sheetFormatPr baseColWidth="10" defaultRowHeight="14.25" x14ac:dyDescent="0.2"/>
  <cols>
    <col min="1" max="1" width="11.42578125" style="1"/>
    <col min="2" max="2" width="3.85546875" style="1" customWidth="1"/>
    <col min="3" max="3" width="40.5703125" style="1" customWidth="1"/>
    <col min="4" max="6" width="13.5703125" style="1" customWidth="1"/>
    <col min="7" max="16384" width="11.42578125" style="1"/>
  </cols>
  <sheetData>
    <row r="5" spans="1:6" x14ac:dyDescent="0.2">
      <c r="B5" s="3"/>
      <c r="C5" s="3"/>
      <c r="D5" s="4" t="s">
        <v>15</v>
      </c>
      <c r="E5" s="4" t="s">
        <v>16</v>
      </c>
      <c r="F5" s="4" t="s">
        <v>17</v>
      </c>
    </row>
    <row r="6" spans="1:6" x14ac:dyDescent="0.2">
      <c r="B6" s="5" t="s">
        <v>9</v>
      </c>
      <c r="C6" s="6"/>
      <c r="D6" s="7"/>
      <c r="E6" s="7"/>
      <c r="F6" s="7"/>
    </row>
    <row r="7" spans="1:6" x14ac:dyDescent="0.2">
      <c r="B7" s="8"/>
      <c r="C7" s="9" t="s">
        <v>11</v>
      </c>
      <c r="D7" s="10">
        <v>52</v>
      </c>
      <c r="E7" s="10">
        <v>52</v>
      </c>
      <c r="F7" s="10">
        <v>52</v>
      </c>
    </row>
    <row r="8" spans="1:6" x14ac:dyDescent="0.2">
      <c r="B8" s="8"/>
      <c r="C8" s="9" t="s">
        <v>12</v>
      </c>
      <c r="D8" s="10">
        <v>120</v>
      </c>
      <c r="E8" s="10">
        <v>120</v>
      </c>
      <c r="F8" s="10">
        <v>120</v>
      </c>
    </row>
    <row r="9" spans="1:6" x14ac:dyDescent="0.2">
      <c r="B9" s="8"/>
      <c r="C9" s="9" t="s">
        <v>14</v>
      </c>
      <c r="D9" s="10">
        <f>D7*D8</f>
        <v>6240</v>
      </c>
      <c r="E9" s="10">
        <f t="shared" ref="E9:F9" si="0">E7*E8</f>
        <v>6240</v>
      </c>
      <c r="F9" s="10">
        <f t="shared" si="0"/>
        <v>6240</v>
      </c>
    </row>
    <row r="10" spans="1:6" ht="10.5" customHeight="1" x14ac:dyDescent="0.2">
      <c r="B10" s="8"/>
      <c r="C10" s="9"/>
      <c r="D10" s="11"/>
      <c r="E10" s="12"/>
      <c r="F10" s="12"/>
    </row>
    <row r="11" spans="1:6" x14ac:dyDescent="0.2">
      <c r="B11" s="8"/>
      <c r="C11" s="9" t="s">
        <v>13</v>
      </c>
      <c r="D11" s="11">
        <v>90</v>
      </c>
      <c r="E11" s="11">
        <f>D11*1.03</f>
        <v>92.7</v>
      </c>
      <c r="F11" s="11">
        <f>E11*1.03</f>
        <v>95.481000000000009</v>
      </c>
    </row>
    <row r="12" spans="1:6" x14ac:dyDescent="0.2">
      <c r="B12" s="8"/>
      <c r="C12" s="9" t="s">
        <v>10</v>
      </c>
      <c r="D12" s="11">
        <f>D11*D9</f>
        <v>561600</v>
      </c>
      <c r="E12" s="11">
        <f>E11*E9</f>
        <v>578448</v>
      </c>
      <c r="F12" s="11">
        <f t="shared" ref="F12" si="1">F11*F9</f>
        <v>595801.44000000006</v>
      </c>
    </row>
    <row r="13" spans="1:6" ht="9.75" customHeight="1" x14ac:dyDescent="0.2">
      <c r="B13" s="8"/>
      <c r="C13" s="9"/>
      <c r="D13" s="13"/>
      <c r="E13" s="12"/>
      <c r="F13" s="12"/>
    </row>
    <row r="14" spans="1:6" x14ac:dyDescent="0.2">
      <c r="B14" s="8"/>
      <c r="C14" s="9" t="s">
        <v>18</v>
      </c>
      <c r="D14" s="11">
        <f>D12*0.6</f>
        <v>336960</v>
      </c>
      <c r="E14" s="11">
        <f>E12*0.6</f>
        <v>347068.8</v>
      </c>
      <c r="F14" s="11">
        <f>F12*0.6</f>
        <v>357480.864</v>
      </c>
    </row>
    <row r="15" spans="1:6" x14ac:dyDescent="0.2">
      <c r="A15" s="2"/>
      <c r="B15" s="14"/>
      <c r="C15" s="15" t="s">
        <v>19</v>
      </c>
      <c r="D15" s="16">
        <f>D12-D14</f>
        <v>224640</v>
      </c>
      <c r="E15" s="16">
        <f>E12-E14</f>
        <v>231379.20000000001</v>
      </c>
      <c r="F15" s="16">
        <f>F12-F14</f>
        <v>238320.57600000006</v>
      </c>
    </row>
    <row r="16" spans="1:6" ht="16.5" customHeight="1" x14ac:dyDescent="0.2">
      <c r="B16" s="5" t="s">
        <v>20</v>
      </c>
      <c r="C16" s="6"/>
      <c r="D16" s="7"/>
      <c r="E16" s="7"/>
      <c r="F16" s="7"/>
    </row>
    <row r="17" spans="1:6" ht="15.75" customHeight="1" x14ac:dyDescent="0.2">
      <c r="B17" s="17"/>
      <c r="C17" s="9" t="s">
        <v>33</v>
      </c>
      <c r="D17" s="11">
        <v>20000</v>
      </c>
      <c r="E17" s="11">
        <f>D17</f>
        <v>20000</v>
      </c>
      <c r="F17" s="11">
        <f>E17</f>
        <v>20000</v>
      </c>
    </row>
    <row r="18" spans="1:6" x14ac:dyDescent="0.2">
      <c r="A18" s="2"/>
      <c r="B18" s="8"/>
      <c r="C18" s="9" t="s">
        <v>21</v>
      </c>
      <c r="D18" s="11">
        <v>36000</v>
      </c>
      <c r="E18" s="11">
        <v>36000</v>
      </c>
      <c r="F18" s="11">
        <v>36000</v>
      </c>
    </row>
    <row r="19" spans="1:6" x14ac:dyDescent="0.2">
      <c r="B19" s="8"/>
      <c r="C19" s="9" t="s">
        <v>22</v>
      </c>
      <c r="D19" s="11">
        <v>8000</v>
      </c>
      <c r="E19" s="11">
        <v>8300</v>
      </c>
      <c r="F19" s="11">
        <v>8500</v>
      </c>
    </row>
    <row r="20" spans="1:6" x14ac:dyDescent="0.2">
      <c r="B20" s="8"/>
      <c r="C20" s="9" t="s">
        <v>23</v>
      </c>
      <c r="D20" s="11">
        <v>4000</v>
      </c>
      <c r="E20" s="11">
        <v>5400</v>
      </c>
      <c r="F20" s="11">
        <v>5900</v>
      </c>
    </row>
    <row r="21" spans="1:6" x14ac:dyDescent="0.2">
      <c r="B21" s="8"/>
      <c r="C21" s="9" t="s">
        <v>24</v>
      </c>
      <c r="D21" s="11">
        <f>30000+30000</f>
        <v>60000</v>
      </c>
      <c r="E21" s="11">
        <f t="shared" ref="E21:F21" si="2">D21*1.03</f>
        <v>61800</v>
      </c>
      <c r="F21" s="11">
        <f t="shared" si="2"/>
        <v>63654</v>
      </c>
    </row>
    <row r="22" spans="1:6" x14ac:dyDescent="0.2">
      <c r="B22" s="8"/>
      <c r="C22" s="9" t="s">
        <v>25</v>
      </c>
      <c r="D22" s="11">
        <f>D21*0.3</f>
        <v>18000</v>
      </c>
      <c r="E22" s="11">
        <f t="shared" ref="E22:F22" si="3">E21*0.3</f>
        <v>18540</v>
      </c>
      <c r="F22" s="11">
        <f t="shared" si="3"/>
        <v>19096.2</v>
      </c>
    </row>
    <row r="23" spans="1:6" ht="10.5" customHeight="1" x14ac:dyDescent="0.2">
      <c r="B23" s="8"/>
      <c r="C23" s="9"/>
      <c r="D23" s="11"/>
      <c r="E23" s="11"/>
      <c r="F23" s="11"/>
    </row>
    <row r="24" spans="1:6" x14ac:dyDescent="0.2">
      <c r="B24" s="8"/>
      <c r="C24" s="9" t="s">
        <v>26</v>
      </c>
      <c r="D24" s="11">
        <f>SUM(D17:D22)</f>
        <v>146000</v>
      </c>
      <c r="E24" s="11">
        <f>SUM(E17:E22)</f>
        <v>150040</v>
      </c>
      <c r="F24" s="11">
        <f>SUM(F17:F22)</f>
        <v>153150.20000000001</v>
      </c>
    </row>
    <row r="25" spans="1:6" ht="9.75" customHeight="1" x14ac:dyDescent="0.2">
      <c r="B25" s="8"/>
      <c r="C25" s="9"/>
      <c r="D25" s="11"/>
      <c r="E25" s="11"/>
      <c r="F25" s="11"/>
    </row>
    <row r="26" spans="1:6" x14ac:dyDescent="0.2">
      <c r="B26" s="8"/>
      <c r="C26" s="9" t="s">
        <v>27</v>
      </c>
      <c r="D26" s="11">
        <f>D15-D24</f>
        <v>78640</v>
      </c>
      <c r="E26" s="11">
        <f t="shared" ref="E26:F26" si="4">E15-E24</f>
        <v>81339.200000000012</v>
      </c>
      <c r="F26" s="11">
        <f t="shared" si="4"/>
        <v>85170.376000000047</v>
      </c>
    </row>
    <row r="27" spans="1:6" ht="8.25" customHeight="1" x14ac:dyDescent="0.2">
      <c r="B27" s="8"/>
      <c r="C27" s="9"/>
      <c r="D27" s="11"/>
      <c r="E27" s="11"/>
      <c r="F27" s="11"/>
    </row>
    <row r="28" spans="1:6" x14ac:dyDescent="0.2">
      <c r="B28" s="8"/>
      <c r="C28" s="9" t="s">
        <v>28</v>
      </c>
      <c r="D28" s="11">
        <v>6000</v>
      </c>
      <c r="E28" s="11">
        <v>6000</v>
      </c>
      <c r="F28" s="11">
        <v>6000</v>
      </c>
    </row>
    <row r="29" spans="1:6" x14ac:dyDescent="0.2">
      <c r="B29" s="8"/>
      <c r="C29" s="9" t="s">
        <v>29</v>
      </c>
      <c r="D29" s="11">
        <f>Péstamo!I29</f>
        <v>8070.8406036281649</v>
      </c>
      <c r="E29" s="11">
        <f>Péstamo!I41</f>
        <v>7537.7073413215458</v>
      </c>
      <c r="F29" s="11">
        <f>Péstamo!I53</f>
        <v>6948.7480597638105</v>
      </c>
    </row>
    <row r="30" spans="1:6" ht="9.75" customHeight="1" x14ac:dyDescent="0.2">
      <c r="B30" s="8"/>
      <c r="C30" s="9"/>
      <c r="D30" s="11"/>
      <c r="E30" s="11"/>
      <c r="F30" s="11"/>
    </row>
    <row r="31" spans="1:6" x14ac:dyDescent="0.2">
      <c r="B31" s="8"/>
      <c r="C31" s="9" t="s">
        <v>30</v>
      </c>
      <c r="D31" s="11">
        <f>D26-D28-D29</f>
        <v>64569.159396371833</v>
      </c>
      <c r="E31" s="11">
        <f t="shared" ref="E31:F31" si="5">E26-E28-E29</f>
        <v>67801.492658678471</v>
      </c>
      <c r="F31" s="11">
        <f t="shared" si="5"/>
        <v>72221.627940236242</v>
      </c>
    </row>
    <row r="32" spans="1:6" ht="11.25" customHeight="1" x14ac:dyDescent="0.2">
      <c r="B32" s="8"/>
      <c r="C32" s="9"/>
      <c r="D32" s="11"/>
      <c r="E32" s="11"/>
      <c r="F32" s="11"/>
    </row>
    <row r="33" spans="2:6" x14ac:dyDescent="0.2">
      <c r="B33" s="8"/>
      <c r="C33" s="9" t="s">
        <v>34</v>
      </c>
      <c r="D33" s="11">
        <f>D31*0.2</f>
        <v>12913.831879274367</v>
      </c>
      <c r="E33" s="11">
        <f>E31*0.2</f>
        <v>13560.298531735694</v>
      </c>
      <c r="F33" s="11">
        <f>F31*0.2</f>
        <v>14444.32558804725</v>
      </c>
    </row>
    <row r="34" spans="2:6" ht="5.25" customHeight="1" x14ac:dyDescent="0.2">
      <c r="B34" s="18"/>
      <c r="C34" s="19"/>
      <c r="D34" s="20"/>
      <c r="E34" s="20"/>
      <c r="F34" s="20"/>
    </row>
    <row r="35" spans="2:6" x14ac:dyDescent="0.2">
      <c r="B35" s="14"/>
      <c r="C35" s="15" t="s">
        <v>31</v>
      </c>
      <c r="D35" s="16">
        <f>D31-D33</f>
        <v>51655.327517097467</v>
      </c>
      <c r="E35" s="16">
        <f t="shared" ref="E35:F35" si="6">E31-E33</f>
        <v>54241.194126942777</v>
      </c>
      <c r="F35" s="16">
        <f t="shared" si="6"/>
        <v>57777.302352188992</v>
      </c>
    </row>
    <row r="36" spans="2:6" ht="10.5" customHeight="1" x14ac:dyDescent="0.2">
      <c r="B36" s="21"/>
      <c r="C36" s="22"/>
      <c r="D36" s="23"/>
      <c r="E36" s="23"/>
      <c r="F36" s="23"/>
    </row>
    <row r="37" spans="2:6" x14ac:dyDescent="0.2">
      <c r="B37" s="14"/>
      <c r="C37" s="24" t="s">
        <v>32</v>
      </c>
      <c r="D37" s="16">
        <f>D35+D28</f>
        <v>57655.327517097467</v>
      </c>
      <c r="E37" s="16">
        <f t="shared" ref="E37:F37" si="7">E35+E28</f>
        <v>60241.194126942777</v>
      </c>
      <c r="F37" s="16">
        <f t="shared" si="7"/>
        <v>63777.302352188992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showGridLines="0" tabSelected="1" topLeftCell="A55" workbookViewId="0">
      <selection activeCell="C68" sqref="C68"/>
    </sheetView>
  </sheetViews>
  <sheetFormatPr baseColWidth="10" defaultRowHeight="12.75" x14ac:dyDescent="0.2"/>
  <cols>
    <col min="1" max="1" width="11.42578125" style="3"/>
    <col min="2" max="2" width="3.7109375" style="3" customWidth="1"/>
    <col min="3" max="3" width="33.140625" style="3" customWidth="1"/>
    <col min="4" max="7" width="12.140625" style="3" customWidth="1"/>
    <col min="8" max="16384" width="11.42578125" style="3"/>
  </cols>
  <sheetData>
    <row r="1" spans="2:7" x14ac:dyDescent="0.2">
      <c r="D1" s="4" t="s">
        <v>37</v>
      </c>
      <c r="E1" s="4" t="s">
        <v>38</v>
      </c>
      <c r="F1" s="4" t="s">
        <v>39</v>
      </c>
      <c r="G1" s="4" t="s">
        <v>40</v>
      </c>
    </row>
    <row r="2" spans="2:7" x14ac:dyDescent="0.2">
      <c r="B2" s="32" t="s">
        <v>36</v>
      </c>
      <c r="C2" s="33"/>
      <c r="D2" s="7"/>
      <c r="E2" s="7"/>
      <c r="F2" s="7"/>
      <c r="G2" s="7"/>
    </row>
    <row r="3" spans="2:7" x14ac:dyDescent="0.2">
      <c r="B3" s="34"/>
      <c r="C3" s="35" t="s">
        <v>10</v>
      </c>
      <c r="D3" s="11">
        <f>'Plan econ.'!D12/12</f>
        <v>46800</v>
      </c>
      <c r="E3" s="11">
        <f>D3</f>
        <v>46800</v>
      </c>
      <c r="F3" s="11">
        <f>E3</f>
        <v>46800</v>
      </c>
      <c r="G3" s="11">
        <f>F3</f>
        <v>46800</v>
      </c>
    </row>
    <row r="4" spans="2:7" x14ac:dyDescent="0.2">
      <c r="B4" s="34"/>
      <c r="C4" s="35" t="s">
        <v>41</v>
      </c>
      <c r="D4" s="11">
        <f>D3*0.21</f>
        <v>9828</v>
      </c>
      <c r="E4" s="11">
        <f t="shared" ref="E4:G4" si="0">E3*0.21</f>
        <v>9828</v>
      </c>
      <c r="F4" s="11">
        <f t="shared" si="0"/>
        <v>9828</v>
      </c>
      <c r="G4" s="11">
        <f t="shared" si="0"/>
        <v>9828</v>
      </c>
    </row>
    <row r="5" spans="2:7" x14ac:dyDescent="0.2">
      <c r="B5" s="36"/>
      <c r="C5" s="37" t="s">
        <v>42</v>
      </c>
      <c r="D5" s="31">
        <f>D3+D4</f>
        <v>56628</v>
      </c>
      <c r="E5" s="31">
        <f t="shared" ref="E5:G5" si="1">E3+E4</f>
        <v>56628</v>
      </c>
      <c r="F5" s="31">
        <f t="shared" si="1"/>
        <v>56628</v>
      </c>
      <c r="G5" s="31">
        <f t="shared" si="1"/>
        <v>56628</v>
      </c>
    </row>
    <row r="9" spans="2:7" x14ac:dyDescent="0.2">
      <c r="D9" s="4" t="s">
        <v>37</v>
      </c>
      <c r="E9" s="4" t="s">
        <v>38</v>
      </c>
      <c r="F9" s="4" t="s">
        <v>39</v>
      </c>
      <c r="G9" s="4" t="s">
        <v>40</v>
      </c>
    </row>
    <row r="10" spans="2:7" x14ac:dyDescent="0.2">
      <c r="B10" s="32"/>
      <c r="C10" s="33"/>
      <c r="D10" s="7"/>
      <c r="E10" s="7"/>
      <c r="F10" s="7"/>
      <c r="G10" s="7"/>
    </row>
    <row r="11" spans="2:7" x14ac:dyDescent="0.2">
      <c r="B11" s="34" t="s">
        <v>43</v>
      </c>
      <c r="C11" s="35"/>
      <c r="D11" s="11">
        <f>'Plan econ.'!D14/12</f>
        <v>28080</v>
      </c>
      <c r="E11" s="11">
        <f>D11</f>
        <v>28080</v>
      </c>
      <c r="F11" s="11">
        <f t="shared" ref="F11:G11" si="2">E11</f>
        <v>28080</v>
      </c>
      <c r="G11" s="11">
        <f t="shared" si="2"/>
        <v>28080</v>
      </c>
    </row>
    <row r="12" spans="2:7" x14ac:dyDescent="0.2">
      <c r="B12" s="34" t="s">
        <v>44</v>
      </c>
      <c r="C12" s="35"/>
      <c r="D12" s="11">
        <f>D11*0.21</f>
        <v>5896.8</v>
      </c>
      <c r="E12" s="11">
        <f t="shared" ref="E12" si="3">E11*0.21</f>
        <v>5896.8</v>
      </c>
      <c r="F12" s="11">
        <f t="shared" ref="F12" si="4">F11*0.21</f>
        <v>5896.8</v>
      </c>
      <c r="G12" s="11">
        <f t="shared" ref="G12" si="5">G11*0.21</f>
        <v>5896.8</v>
      </c>
    </row>
    <row r="13" spans="2:7" x14ac:dyDescent="0.2">
      <c r="B13" s="38" t="s">
        <v>45</v>
      </c>
      <c r="C13" s="37"/>
      <c r="D13" s="31">
        <f>D11+D12</f>
        <v>33976.800000000003</v>
      </c>
      <c r="E13" s="31">
        <f t="shared" ref="E13" si="6">E11+E12</f>
        <v>33976.800000000003</v>
      </c>
      <c r="F13" s="31">
        <f t="shared" ref="F13" si="7">F11+F12</f>
        <v>33976.800000000003</v>
      </c>
      <c r="G13" s="31">
        <f t="shared" ref="G13" si="8">G11+G12</f>
        <v>33976.800000000003</v>
      </c>
    </row>
    <row r="16" spans="2:7" x14ac:dyDescent="0.2">
      <c r="D16" s="4" t="s">
        <v>37</v>
      </c>
      <c r="E16" s="4" t="s">
        <v>38</v>
      </c>
      <c r="F16" s="4" t="s">
        <v>39</v>
      </c>
      <c r="G16" s="4" t="s">
        <v>40</v>
      </c>
    </row>
    <row r="17" spans="2:7" x14ac:dyDescent="0.2">
      <c r="B17" s="32"/>
      <c r="C17" s="33"/>
      <c r="D17" s="7"/>
      <c r="E17" s="7"/>
      <c r="F17" s="7"/>
      <c r="G17" s="7"/>
    </row>
    <row r="18" spans="2:7" x14ac:dyDescent="0.2">
      <c r="B18" s="34" t="s">
        <v>48</v>
      </c>
      <c r="C18" s="35"/>
      <c r="D18" s="11">
        <f>SUM('Plan econ.'!D17:D20)/12</f>
        <v>5666.666666666667</v>
      </c>
      <c r="E18" s="11">
        <f>D18</f>
        <v>5666.666666666667</v>
      </c>
      <c r="F18" s="11">
        <f>E18</f>
        <v>5666.666666666667</v>
      </c>
      <c r="G18" s="11">
        <f>F18</f>
        <v>5666.666666666667</v>
      </c>
    </row>
    <row r="19" spans="2:7" x14ac:dyDescent="0.2">
      <c r="B19" s="34" t="s">
        <v>46</v>
      </c>
      <c r="C19" s="35"/>
      <c r="D19" s="11">
        <f>D18*0.21</f>
        <v>1190</v>
      </c>
      <c r="E19" s="11">
        <f t="shared" ref="E19" si="9">E18*0.21</f>
        <v>1190</v>
      </c>
      <c r="F19" s="11">
        <f t="shared" ref="F19" si="10">F18*0.21</f>
        <v>1190</v>
      </c>
      <c r="G19" s="11">
        <f t="shared" ref="G19" si="11">G18*0.21</f>
        <v>1190</v>
      </c>
    </row>
    <row r="20" spans="2:7" x14ac:dyDescent="0.2">
      <c r="B20" s="38" t="s">
        <v>47</v>
      </c>
      <c r="C20" s="37"/>
      <c r="D20" s="31">
        <f>D18+D19</f>
        <v>6856.666666666667</v>
      </c>
      <c r="E20" s="31">
        <f t="shared" ref="E20" si="12">E18+E19</f>
        <v>6856.666666666667</v>
      </c>
      <c r="F20" s="31">
        <f t="shared" ref="F20" si="13">F18+F19</f>
        <v>6856.666666666667</v>
      </c>
      <c r="G20" s="31">
        <f t="shared" ref="G20" si="14">G18+G19</f>
        <v>6856.666666666667</v>
      </c>
    </row>
    <row r="23" spans="2:7" x14ac:dyDescent="0.2">
      <c r="D23" s="4" t="s">
        <v>37</v>
      </c>
      <c r="E23" s="4" t="s">
        <v>38</v>
      </c>
      <c r="F23" s="4" t="s">
        <v>39</v>
      </c>
      <c r="G23" s="4" t="s">
        <v>40</v>
      </c>
    </row>
    <row r="24" spans="2:7" x14ac:dyDescent="0.2">
      <c r="B24" s="43" t="s">
        <v>49</v>
      </c>
      <c r="C24" s="33"/>
      <c r="D24" s="11">
        <f>'Plan econ.'!D21/12</f>
        <v>5000</v>
      </c>
      <c r="E24" s="39">
        <f>D24</f>
        <v>5000</v>
      </c>
      <c r="F24" s="39">
        <f t="shared" ref="F24:G24" si="15">E24</f>
        <v>5000</v>
      </c>
      <c r="G24" s="39">
        <f t="shared" si="15"/>
        <v>5000</v>
      </c>
    </row>
    <row r="25" spans="2:7" x14ac:dyDescent="0.2">
      <c r="B25" s="34" t="s">
        <v>50</v>
      </c>
      <c r="C25" s="35"/>
      <c r="D25" s="11">
        <f>-D24*0.05</f>
        <v>-250</v>
      </c>
      <c r="E25" s="11">
        <f t="shared" ref="E25:G26" si="16">D25</f>
        <v>-250</v>
      </c>
      <c r="F25" s="11">
        <f t="shared" si="16"/>
        <v>-250</v>
      </c>
      <c r="G25" s="11">
        <f t="shared" si="16"/>
        <v>-250</v>
      </c>
    </row>
    <row r="26" spans="2:7" x14ac:dyDescent="0.2">
      <c r="B26" s="34" t="s">
        <v>51</v>
      </c>
      <c r="C26" s="35"/>
      <c r="D26" s="11">
        <f>-D24*0.15</f>
        <v>-750</v>
      </c>
      <c r="E26" s="11">
        <f t="shared" si="16"/>
        <v>-750</v>
      </c>
      <c r="F26" s="11">
        <f t="shared" si="16"/>
        <v>-750</v>
      </c>
      <c r="G26" s="11">
        <f t="shared" si="16"/>
        <v>-750</v>
      </c>
    </row>
    <row r="27" spans="2:7" x14ac:dyDescent="0.2">
      <c r="B27" s="38" t="s">
        <v>52</v>
      </c>
      <c r="C27" s="37"/>
      <c r="D27" s="31">
        <f>D24+D25+D26</f>
        <v>4000</v>
      </c>
      <c r="E27" s="31">
        <f t="shared" ref="E27:G27" si="17">E24+E25+E26</f>
        <v>4000</v>
      </c>
      <c r="F27" s="31">
        <f t="shared" si="17"/>
        <v>4000</v>
      </c>
      <c r="G27" s="31">
        <f t="shared" si="17"/>
        <v>4000</v>
      </c>
    </row>
    <row r="31" spans="2:7" x14ac:dyDescent="0.2">
      <c r="C31" s="3" t="s">
        <v>57</v>
      </c>
      <c r="F31" s="40">
        <f>9828*3</f>
        <v>29484</v>
      </c>
    </row>
    <row r="32" spans="2:7" x14ac:dyDescent="0.2">
      <c r="C32" s="41" t="s">
        <v>58</v>
      </c>
      <c r="D32" s="41"/>
      <c r="E32" s="41"/>
      <c r="F32" s="42">
        <f>-(5896.8*3)-(1190*3)</f>
        <v>-21260.400000000001</v>
      </c>
    </row>
    <row r="33" spans="2:7" ht="17.25" customHeight="1" x14ac:dyDescent="0.2">
      <c r="C33" s="3" t="s">
        <v>59</v>
      </c>
      <c r="F33" s="40">
        <f>F31+F32</f>
        <v>8223.5999999999985</v>
      </c>
    </row>
    <row r="39" spans="2:7" x14ac:dyDescent="0.2">
      <c r="D39" s="4" t="s">
        <v>37</v>
      </c>
      <c r="E39" s="4" t="s">
        <v>38</v>
      </c>
      <c r="F39" s="4" t="s">
        <v>39</v>
      </c>
      <c r="G39" s="4" t="s">
        <v>40</v>
      </c>
    </row>
    <row r="40" spans="2:7" x14ac:dyDescent="0.2">
      <c r="B40" s="34" t="s">
        <v>53</v>
      </c>
      <c r="C40" s="33"/>
      <c r="D40" s="11">
        <v>0</v>
      </c>
      <c r="E40" s="39">
        <f>'Plan econ.'!D22/12</f>
        <v>1500</v>
      </c>
      <c r="F40" s="39">
        <f>E40</f>
        <v>1500</v>
      </c>
      <c r="G40" s="39">
        <f>F40</f>
        <v>1500</v>
      </c>
    </row>
    <row r="41" spans="2:7" x14ac:dyDescent="0.2">
      <c r="B41" s="34" t="s">
        <v>50</v>
      </c>
      <c r="C41" s="35"/>
      <c r="D41" s="11">
        <f>D40</f>
        <v>0</v>
      </c>
      <c r="E41" s="11">
        <f>-'Plan financiero'!D25</f>
        <v>250</v>
      </c>
      <c r="F41" s="11">
        <f>-E25</f>
        <v>250</v>
      </c>
      <c r="G41" s="11">
        <f>-F25</f>
        <v>250</v>
      </c>
    </row>
    <row r="42" spans="2:7" x14ac:dyDescent="0.2">
      <c r="B42" s="34" t="s">
        <v>54</v>
      </c>
      <c r="C42" s="35"/>
      <c r="D42" s="11">
        <v>0</v>
      </c>
      <c r="E42" s="11">
        <v>0</v>
      </c>
      <c r="F42" s="11">
        <v>0</v>
      </c>
      <c r="G42" s="11">
        <f>-(D26+E26+F26)</f>
        <v>2250</v>
      </c>
    </row>
    <row r="43" spans="2:7" x14ac:dyDescent="0.2">
      <c r="B43" s="34" t="s">
        <v>55</v>
      </c>
      <c r="C43" s="35"/>
      <c r="D43" s="11">
        <v>0</v>
      </c>
      <c r="E43" s="11">
        <v>0</v>
      </c>
      <c r="F43" s="11">
        <v>0</v>
      </c>
      <c r="G43" s="11">
        <f>F33</f>
        <v>8223.5999999999985</v>
      </c>
    </row>
    <row r="44" spans="2:7" x14ac:dyDescent="0.2">
      <c r="B44" s="38" t="s">
        <v>56</v>
      </c>
      <c r="C44" s="37"/>
      <c r="D44" s="31">
        <f>SUM(D40:D43)</f>
        <v>0</v>
      </c>
      <c r="E44" s="31">
        <f t="shared" ref="E44:G44" si="18">SUM(E40:E43)</f>
        <v>1750</v>
      </c>
      <c r="F44" s="31">
        <f t="shared" si="18"/>
        <v>1750</v>
      </c>
      <c r="G44" s="31">
        <f t="shared" si="18"/>
        <v>12223.599999999999</v>
      </c>
    </row>
    <row r="49" spans="2:7" x14ac:dyDescent="0.2">
      <c r="D49" s="4" t="s">
        <v>37</v>
      </c>
      <c r="E49" s="4" t="s">
        <v>38</v>
      </c>
      <c r="F49" s="4" t="s">
        <v>39</v>
      </c>
      <c r="G49" s="4" t="s">
        <v>40</v>
      </c>
    </row>
    <row r="50" spans="2:7" x14ac:dyDescent="0.2">
      <c r="B50" s="43" t="s">
        <v>60</v>
      </c>
      <c r="C50" s="33"/>
      <c r="D50" s="11">
        <f>Péstamo!D18</f>
        <v>405.18444945195517</v>
      </c>
      <c r="E50" s="11">
        <f>Péstamo!D19</f>
        <v>408.56098653072149</v>
      </c>
      <c r="F50" s="11">
        <f>Péstamo!D20</f>
        <v>411.96566141847745</v>
      </c>
      <c r="G50" s="11">
        <f>Péstamo!D21</f>
        <v>415.39870859696475</v>
      </c>
    </row>
    <row r="51" spans="2:7" x14ac:dyDescent="0.2">
      <c r="B51" s="34" t="s">
        <v>61</v>
      </c>
      <c r="C51" s="35"/>
      <c r="D51" s="11">
        <f>Péstamo!C18</f>
        <v>691.66666666666663</v>
      </c>
      <c r="E51" s="11">
        <f>Péstamo!C19</f>
        <v>688.29012958790031</v>
      </c>
      <c r="F51" s="11">
        <f>Péstamo!C20</f>
        <v>684.88545470014435</v>
      </c>
      <c r="G51" s="11">
        <f>Péstamo!C21</f>
        <v>681.45240752165705</v>
      </c>
    </row>
    <row r="52" spans="2:7" x14ac:dyDescent="0.2">
      <c r="B52" s="38" t="s">
        <v>62</v>
      </c>
      <c r="C52" s="37"/>
      <c r="D52" s="31">
        <f>D50+D51</f>
        <v>1096.8511161186218</v>
      </c>
      <c r="E52" s="31">
        <f t="shared" ref="E52:G52" si="19">E50+E51</f>
        <v>1096.8511161186218</v>
      </c>
      <c r="F52" s="31">
        <f t="shared" si="19"/>
        <v>1096.8511161186218</v>
      </c>
      <c r="G52" s="31">
        <f t="shared" si="19"/>
        <v>1096.8511161186218</v>
      </c>
    </row>
    <row r="57" spans="2:7" x14ac:dyDescent="0.2">
      <c r="D57" s="4" t="s">
        <v>37</v>
      </c>
      <c r="E57" s="4" t="s">
        <v>38</v>
      </c>
      <c r="F57" s="4" t="s">
        <v>39</v>
      </c>
      <c r="G57" s="4" t="s">
        <v>40</v>
      </c>
    </row>
    <row r="58" spans="2:7" x14ac:dyDescent="0.2">
      <c r="B58" s="32" t="s">
        <v>86</v>
      </c>
      <c r="C58" s="33"/>
      <c r="D58" s="30">
        <v>500</v>
      </c>
      <c r="E58" s="30">
        <f>D89</f>
        <v>11197.682217214708</v>
      </c>
      <c r="F58" s="30">
        <f t="shared" ref="F58:G58" si="20">E89</f>
        <v>20145.364434429415</v>
      </c>
      <c r="G58" s="30">
        <f t="shared" si="20"/>
        <v>29093.046651644127</v>
      </c>
    </row>
    <row r="59" spans="2:7" x14ac:dyDescent="0.2">
      <c r="B59" s="34"/>
      <c r="C59" s="35"/>
      <c r="D59" s="11"/>
      <c r="E59" s="11"/>
      <c r="F59" s="11"/>
      <c r="G59" s="11"/>
    </row>
    <row r="60" spans="2:7" x14ac:dyDescent="0.2">
      <c r="B60" s="81" t="s">
        <v>36</v>
      </c>
      <c r="C60" s="35"/>
      <c r="D60" s="11"/>
      <c r="E60" s="11"/>
      <c r="F60" s="11"/>
      <c r="G60" s="11"/>
    </row>
    <row r="61" spans="2:7" x14ac:dyDescent="0.2">
      <c r="B61" s="34"/>
      <c r="C61" s="35" t="s">
        <v>10</v>
      </c>
      <c r="D61" s="11">
        <f>D3</f>
        <v>46800</v>
      </c>
      <c r="E61" s="11">
        <f>E3</f>
        <v>46800</v>
      </c>
      <c r="F61" s="11">
        <f>F3</f>
        <v>46800</v>
      </c>
      <c r="G61" s="11">
        <f>G3</f>
        <v>46800</v>
      </c>
    </row>
    <row r="62" spans="2:7" x14ac:dyDescent="0.2">
      <c r="B62" s="34"/>
      <c r="C62" s="35" t="s">
        <v>41</v>
      </c>
      <c r="D62" s="11">
        <f>D4</f>
        <v>9828</v>
      </c>
      <c r="E62" s="11">
        <f>E4</f>
        <v>9828</v>
      </c>
      <c r="F62" s="11">
        <f>F4</f>
        <v>9828</v>
      </c>
      <c r="G62" s="11">
        <f>G4</f>
        <v>9828</v>
      </c>
    </row>
    <row r="63" spans="2:7" x14ac:dyDescent="0.2">
      <c r="B63" s="34"/>
      <c r="C63" s="82" t="s">
        <v>42</v>
      </c>
      <c r="D63" s="30">
        <f>D61+D62</f>
        <v>56628</v>
      </c>
      <c r="E63" s="30">
        <f t="shared" ref="E63:G63" si="21">E61+E62</f>
        <v>56628</v>
      </c>
      <c r="F63" s="30">
        <f t="shared" si="21"/>
        <v>56628</v>
      </c>
      <c r="G63" s="30">
        <f t="shared" si="21"/>
        <v>56628</v>
      </c>
    </row>
    <row r="64" spans="2:7" x14ac:dyDescent="0.2">
      <c r="B64" s="34"/>
      <c r="C64" s="35"/>
      <c r="D64" s="11"/>
      <c r="E64" s="11"/>
      <c r="F64" s="11"/>
      <c r="G64" s="11"/>
    </row>
    <row r="65" spans="2:7" x14ac:dyDescent="0.2">
      <c r="B65" s="81" t="s">
        <v>87</v>
      </c>
      <c r="C65" s="82"/>
      <c r="D65" s="11"/>
      <c r="E65" s="11"/>
      <c r="F65" s="11"/>
      <c r="G65" s="11"/>
    </row>
    <row r="66" spans="2:7" x14ac:dyDescent="0.2">
      <c r="B66" s="34"/>
      <c r="C66" s="35" t="s">
        <v>43</v>
      </c>
      <c r="D66" s="11">
        <f>D11</f>
        <v>28080</v>
      </c>
      <c r="E66" s="11">
        <f>E11</f>
        <v>28080</v>
      </c>
      <c r="F66" s="11">
        <f>F11</f>
        <v>28080</v>
      </c>
      <c r="G66" s="11">
        <f>G11</f>
        <v>28080</v>
      </c>
    </row>
    <row r="67" spans="2:7" x14ac:dyDescent="0.2">
      <c r="B67" s="34"/>
      <c r="C67" s="35" t="s">
        <v>44</v>
      </c>
      <c r="D67" s="11">
        <f>D12</f>
        <v>5896.8</v>
      </c>
      <c r="E67" s="11">
        <f>E12</f>
        <v>5896.8</v>
      </c>
      <c r="F67" s="11">
        <f>F12</f>
        <v>5896.8</v>
      </c>
      <c r="G67" s="11">
        <f>G12</f>
        <v>5896.8</v>
      </c>
    </row>
    <row r="68" spans="2:7" x14ac:dyDescent="0.2">
      <c r="B68" s="34"/>
      <c r="C68" s="82" t="s">
        <v>45</v>
      </c>
      <c r="D68" s="30">
        <f t="shared" ref="D68:G68" si="22">D66+D67</f>
        <v>33976.800000000003</v>
      </c>
      <c r="E68" s="30">
        <f t="shared" si="22"/>
        <v>33976.800000000003</v>
      </c>
      <c r="F68" s="30">
        <f t="shared" si="22"/>
        <v>33976.800000000003</v>
      </c>
      <c r="G68" s="30">
        <f t="shared" si="22"/>
        <v>33976.800000000003</v>
      </c>
    </row>
    <row r="69" spans="2:7" x14ac:dyDescent="0.2">
      <c r="B69" s="34"/>
      <c r="C69" s="35"/>
      <c r="D69" s="11"/>
      <c r="E69" s="11"/>
      <c r="F69" s="11"/>
      <c r="G69" s="11"/>
    </row>
    <row r="70" spans="2:7" x14ac:dyDescent="0.2">
      <c r="B70" s="34"/>
      <c r="C70" s="35" t="s">
        <v>48</v>
      </c>
      <c r="D70" s="11">
        <f>D18</f>
        <v>5666.666666666667</v>
      </c>
      <c r="E70" s="11">
        <f>E18</f>
        <v>5666.666666666667</v>
      </c>
      <c r="F70" s="11">
        <f>F18</f>
        <v>5666.666666666667</v>
      </c>
      <c r="G70" s="11">
        <f>G18</f>
        <v>5666.666666666667</v>
      </c>
    </row>
    <row r="71" spans="2:7" x14ac:dyDescent="0.2">
      <c r="B71" s="34"/>
      <c r="C71" s="35" t="s">
        <v>46</v>
      </c>
      <c r="D71" s="11">
        <f>D19</f>
        <v>1190</v>
      </c>
      <c r="E71" s="11">
        <f>E19</f>
        <v>1190</v>
      </c>
      <c r="F71" s="11">
        <f>F19</f>
        <v>1190</v>
      </c>
      <c r="G71" s="11">
        <f>G19</f>
        <v>1190</v>
      </c>
    </row>
    <row r="72" spans="2:7" x14ac:dyDescent="0.2">
      <c r="B72" s="34"/>
      <c r="C72" s="82" t="s">
        <v>47</v>
      </c>
      <c r="D72" s="30">
        <f t="shared" ref="D72" si="23">D70+D71</f>
        <v>6856.666666666667</v>
      </c>
      <c r="E72" s="30">
        <f t="shared" ref="E72" si="24">E70+E71</f>
        <v>6856.666666666667</v>
      </c>
      <c r="F72" s="30">
        <f t="shared" ref="F72" si="25">F70+F71</f>
        <v>6856.666666666667</v>
      </c>
      <c r="G72" s="30">
        <f t="shared" ref="G72" si="26">G70+G71</f>
        <v>6856.666666666667</v>
      </c>
    </row>
    <row r="73" spans="2:7" x14ac:dyDescent="0.2">
      <c r="B73" s="34"/>
      <c r="C73" s="35"/>
      <c r="D73" s="11"/>
      <c r="E73" s="11"/>
      <c r="F73" s="11"/>
      <c r="G73" s="11"/>
    </row>
    <row r="74" spans="2:7" x14ac:dyDescent="0.2">
      <c r="B74" s="34"/>
      <c r="C74" s="35" t="s">
        <v>49</v>
      </c>
      <c r="D74" s="11">
        <f>D24</f>
        <v>5000</v>
      </c>
      <c r="E74" s="11">
        <f>E24</f>
        <v>5000</v>
      </c>
      <c r="F74" s="11">
        <f>F24</f>
        <v>5000</v>
      </c>
      <c r="G74" s="11">
        <f>G24</f>
        <v>5000</v>
      </c>
    </row>
    <row r="75" spans="2:7" x14ac:dyDescent="0.2">
      <c r="B75" s="34"/>
      <c r="C75" s="35" t="s">
        <v>50</v>
      </c>
      <c r="D75" s="11">
        <f>D25</f>
        <v>-250</v>
      </c>
      <c r="E75" s="11">
        <f>E25</f>
        <v>-250</v>
      </c>
      <c r="F75" s="11">
        <f>F25</f>
        <v>-250</v>
      </c>
      <c r="G75" s="11">
        <f>G25</f>
        <v>-250</v>
      </c>
    </row>
    <row r="76" spans="2:7" x14ac:dyDescent="0.2">
      <c r="B76" s="34"/>
      <c r="C76" s="35" t="s">
        <v>51</v>
      </c>
      <c r="D76" s="11">
        <f>D26</f>
        <v>-750</v>
      </c>
      <c r="E76" s="11">
        <f>E26</f>
        <v>-750</v>
      </c>
      <c r="F76" s="11">
        <f>F26</f>
        <v>-750</v>
      </c>
      <c r="G76" s="11">
        <f>G26</f>
        <v>-750</v>
      </c>
    </row>
    <row r="77" spans="2:7" x14ac:dyDescent="0.2">
      <c r="B77" s="34"/>
      <c r="C77" s="82" t="s">
        <v>52</v>
      </c>
      <c r="D77" s="30">
        <f>D74+D75+D76</f>
        <v>4000</v>
      </c>
      <c r="E77" s="30">
        <f t="shared" ref="E77:G77" si="27">E74+E75+E76</f>
        <v>4000</v>
      </c>
      <c r="F77" s="30">
        <f t="shared" si="27"/>
        <v>4000</v>
      </c>
      <c r="G77" s="30">
        <f t="shared" si="27"/>
        <v>4000</v>
      </c>
    </row>
    <row r="78" spans="2:7" x14ac:dyDescent="0.2">
      <c r="B78" s="34"/>
      <c r="C78" s="35"/>
      <c r="D78" s="11"/>
      <c r="E78" s="11"/>
      <c r="F78" s="11"/>
      <c r="G78" s="11"/>
    </row>
    <row r="79" spans="2:7" x14ac:dyDescent="0.2">
      <c r="B79" s="34"/>
      <c r="C79" s="35" t="s">
        <v>53</v>
      </c>
      <c r="D79" s="11">
        <f>D40</f>
        <v>0</v>
      </c>
      <c r="E79" s="11">
        <f>E40</f>
        <v>1500</v>
      </c>
      <c r="F79" s="11">
        <f>F40</f>
        <v>1500</v>
      </c>
      <c r="G79" s="11">
        <f>G40</f>
        <v>1500</v>
      </c>
    </row>
    <row r="80" spans="2:7" x14ac:dyDescent="0.2">
      <c r="B80" s="34"/>
      <c r="C80" s="35" t="s">
        <v>50</v>
      </c>
      <c r="D80" s="11">
        <f>D41</f>
        <v>0</v>
      </c>
      <c r="E80" s="11">
        <f>E41</f>
        <v>250</v>
      </c>
      <c r="F80" s="11">
        <f>F41</f>
        <v>250</v>
      </c>
      <c r="G80" s="11">
        <f>G41</f>
        <v>250</v>
      </c>
    </row>
    <row r="81" spans="2:7" x14ac:dyDescent="0.2">
      <c r="B81" s="34"/>
      <c r="C81" s="35" t="s">
        <v>54</v>
      </c>
      <c r="D81" s="11">
        <f>D42</f>
        <v>0</v>
      </c>
      <c r="E81" s="11">
        <f>E42</f>
        <v>0</v>
      </c>
      <c r="F81" s="11">
        <f>F42</f>
        <v>0</v>
      </c>
      <c r="G81" s="11">
        <f>G42</f>
        <v>2250</v>
      </c>
    </row>
    <row r="82" spans="2:7" x14ac:dyDescent="0.2">
      <c r="B82" s="34"/>
      <c r="C82" s="35" t="s">
        <v>55</v>
      </c>
      <c r="D82" s="11">
        <f>D43</f>
        <v>0</v>
      </c>
      <c r="E82" s="11">
        <f>E43</f>
        <v>0</v>
      </c>
      <c r="F82" s="11">
        <f>F43</f>
        <v>0</v>
      </c>
      <c r="G82" s="11">
        <f>G43</f>
        <v>8223.5999999999985</v>
      </c>
    </row>
    <row r="83" spans="2:7" x14ac:dyDescent="0.2">
      <c r="B83" s="34"/>
      <c r="C83" s="82" t="s">
        <v>56</v>
      </c>
      <c r="D83" s="30">
        <f>D79+D80+D81+D82</f>
        <v>0</v>
      </c>
      <c r="E83" s="30">
        <f t="shared" ref="E83:G83" si="28">E79+E80+E81+E82</f>
        <v>1750</v>
      </c>
      <c r="F83" s="30">
        <f t="shared" si="28"/>
        <v>1750</v>
      </c>
      <c r="G83" s="30">
        <f t="shared" si="28"/>
        <v>12223.599999999999</v>
      </c>
    </row>
    <row r="84" spans="2:7" x14ac:dyDescent="0.2">
      <c r="B84" s="34"/>
      <c r="C84" s="35"/>
      <c r="D84" s="11"/>
      <c r="E84" s="11"/>
      <c r="F84" s="11"/>
      <c r="G84" s="11"/>
    </row>
    <row r="85" spans="2:7" x14ac:dyDescent="0.2">
      <c r="B85" s="34"/>
      <c r="C85" s="35" t="s">
        <v>60</v>
      </c>
      <c r="D85" s="11">
        <f>D50</f>
        <v>405.18444945195517</v>
      </c>
      <c r="E85" s="11">
        <f>E50</f>
        <v>408.56098653072149</v>
      </c>
      <c r="F85" s="11">
        <f>F50</f>
        <v>411.96566141847745</v>
      </c>
      <c r="G85" s="11">
        <f>G50</f>
        <v>415.39870859696475</v>
      </c>
    </row>
    <row r="86" spans="2:7" x14ac:dyDescent="0.2">
      <c r="B86" s="34"/>
      <c r="C86" s="35" t="s">
        <v>61</v>
      </c>
      <c r="D86" s="11">
        <f>D51</f>
        <v>691.66666666666663</v>
      </c>
      <c r="E86" s="11">
        <f>E51</f>
        <v>688.29012958790031</v>
      </c>
      <c r="F86" s="11">
        <f>F51</f>
        <v>684.88545470014435</v>
      </c>
      <c r="G86" s="11">
        <f>G51</f>
        <v>681.45240752165705</v>
      </c>
    </row>
    <row r="87" spans="2:7" x14ac:dyDescent="0.2">
      <c r="B87" s="34"/>
      <c r="C87" s="82" t="s">
        <v>62</v>
      </c>
      <c r="D87" s="30">
        <f t="shared" ref="D87" si="29">D85+D86</f>
        <v>1096.8511161186218</v>
      </c>
      <c r="E87" s="30">
        <f t="shared" ref="E87" si="30">E85+E86</f>
        <v>1096.8511161186218</v>
      </c>
      <c r="F87" s="30">
        <f t="shared" ref="F87" si="31">F85+F86</f>
        <v>1096.8511161186218</v>
      </c>
      <c r="G87" s="30">
        <f t="shared" ref="G87" si="32">G85+G86</f>
        <v>1096.8511161186218</v>
      </c>
    </row>
    <row r="88" spans="2:7" x14ac:dyDescent="0.2">
      <c r="B88" s="34"/>
      <c r="C88" s="35"/>
      <c r="D88" s="11"/>
      <c r="E88" s="11"/>
      <c r="F88" s="11"/>
      <c r="G88" s="11"/>
    </row>
    <row r="89" spans="2:7" x14ac:dyDescent="0.2">
      <c r="B89" s="38" t="s">
        <v>88</v>
      </c>
      <c r="C89" s="37"/>
      <c r="D89" s="31">
        <f>D58+D63-D68-D72-D77-D83-D87</f>
        <v>11197.682217214708</v>
      </c>
      <c r="E89" s="31">
        <f>E58+E63-E68-E72-E77-E83-E87</f>
        <v>20145.364434429415</v>
      </c>
      <c r="F89" s="31">
        <f>F58+F63-F68-F72-F77-F83-F87</f>
        <v>29093.046651644127</v>
      </c>
      <c r="G89" s="31">
        <f>G58+G63-G68-G72-G77-G83-G87</f>
        <v>27567.128868858836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workbookViewId="0">
      <selection activeCell="E48" sqref="E48"/>
    </sheetView>
  </sheetViews>
  <sheetFormatPr baseColWidth="10" defaultRowHeight="12.75" x14ac:dyDescent="0.2"/>
  <cols>
    <col min="1" max="1" width="30.7109375" style="45" bestFit="1" customWidth="1"/>
    <col min="2" max="2" width="14.42578125" style="45" bestFit="1" customWidth="1"/>
    <col min="3" max="3" width="14.42578125" style="45" customWidth="1"/>
    <col min="4" max="4" width="19.140625" style="45" bestFit="1" customWidth="1"/>
    <col min="5" max="6" width="14.42578125" style="45" bestFit="1" customWidth="1"/>
    <col min="7" max="7" width="15.42578125" style="45" bestFit="1" customWidth="1"/>
    <col min="8" max="8" width="14.42578125" style="45" bestFit="1" customWidth="1"/>
    <col min="9" max="256" width="11.42578125" style="45"/>
    <col min="257" max="257" width="30.7109375" style="45" bestFit="1" customWidth="1"/>
    <col min="258" max="258" width="14.42578125" style="45" bestFit="1" customWidth="1"/>
    <col min="259" max="259" width="14.42578125" style="45" customWidth="1"/>
    <col min="260" max="260" width="19.140625" style="45" bestFit="1" customWidth="1"/>
    <col min="261" max="262" width="14.42578125" style="45" bestFit="1" customWidth="1"/>
    <col min="263" max="263" width="15.42578125" style="45" bestFit="1" customWidth="1"/>
    <col min="264" max="264" width="14.42578125" style="45" bestFit="1" customWidth="1"/>
    <col min="265" max="512" width="11.42578125" style="45"/>
    <col min="513" max="513" width="30.7109375" style="45" bestFit="1" customWidth="1"/>
    <col min="514" max="514" width="14.42578125" style="45" bestFit="1" customWidth="1"/>
    <col min="515" max="515" width="14.42578125" style="45" customWidth="1"/>
    <col min="516" max="516" width="19.140625" style="45" bestFit="1" customWidth="1"/>
    <col min="517" max="518" width="14.42578125" style="45" bestFit="1" customWidth="1"/>
    <col min="519" max="519" width="15.42578125" style="45" bestFit="1" customWidth="1"/>
    <col min="520" max="520" width="14.42578125" style="45" bestFit="1" customWidth="1"/>
    <col min="521" max="768" width="11.42578125" style="45"/>
    <col min="769" max="769" width="30.7109375" style="45" bestFit="1" customWidth="1"/>
    <col min="770" max="770" width="14.42578125" style="45" bestFit="1" customWidth="1"/>
    <col min="771" max="771" width="14.42578125" style="45" customWidth="1"/>
    <col min="772" max="772" width="19.140625" style="45" bestFit="1" customWidth="1"/>
    <col min="773" max="774" width="14.42578125" style="45" bestFit="1" customWidth="1"/>
    <col min="775" max="775" width="15.42578125" style="45" bestFit="1" customWidth="1"/>
    <col min="776" max="776" width="14.42578125" style="45" bestFit="1" customWidth="1"/>
    <col min="777" max="1024" width="11.42578125" style="45"/>
    <col min="1025" max="1025" width="30.7109375" style="45" bestFit="1" customWidth="1"/>
    <col min="1026" max="1026" width="14.42578125" style="45" bestFit="1" customWidth="1"/>
    <col min="1027" max="1027" width="14.42578125" style="45" customWidth="1"/>
    <col min="1028" max="1028" width="19.140625" style="45" bestFit="1" customWidth="1"/>
    <col min="1029" max="1030" width="14.42578125" style="45" bestFit="1" customWidth="1"/>
    <col min="1031" max="1031" width="15.42578125" style="45" bestFit="1" customWidth="1"/>
    <col min="1032" max="1032" width="14.42578125" style="45" bestFit="1" customWidth="1"/>
    <col min="1033" max="1280" width="11.42578125" style="45"/>
    <col min="1281" max="1281" width="30.7109375" style="45" bestFit="1" customWidth="1"/>
    <col min="1282" max="1282" width="14.42578125" style="45" bestFit="1" customWidth="1"/>
    <col min="1283" max="1283" width="14.42578125" style="45" customWidth="1"/>
    <col min="1284" max="1284" width="19.140625" style="45" bestFit="1" customWidth="1"/>
    <col min="1285" max="1286" width="14.42578125" style="45" bestFit="1" customWidth="1"/>
    <col min="1287" max="1287" width="15.42578125" style="45" bestFit="1" customWidth="1"/>
    <col min="1288" max="1288" width="14.42578125" style="45" bestFit="1" customWidth="1"/>
    <col min="1289" max="1536" width="11.42578125" style="45"/>
    <col min="1537" max="1537" width="30.7109375" style="45" bestFit="1" customWidth="1"/>
    <col min="1538" max="1538" width="14.42578125" style="45" bestFit="1" customWidth="1"/>
    <col min="1539" max="1539" width="14.42578125" style="45" customWidth="1"/>
    <col min="1540" max="1540" width="19.140625" style="45" bestFit="1" customWidth="1"/>
    <col min="1541" max="1542" width="14.42578125" style="45" bestFit="1" customWidth="1"/>
    <col min="1543" max="1543" width="15.42578125" style="45" bestFit="1" customWidth="1"/>
    <col min="1544" max="1544" width="14.42578125" style="45" bestFit="1" customWidth="1"/>
    <col min="1545" max="1792" width="11.42578125" style="45"/>
    <col min="1793" max="1793" width="30.7109375" style="45" bestFit="1" customWidth="1"/>
    <col min="1794" max="1794" width="14.42578125" style="45" bestFit="1" customWidth="1"/>
    <col min="1795" max="1795" width="14.42578125" style="45" customWidth="1"/>
    <col min="1796" max="1796" width="19.140625" style="45" bestFit="1" customWidth="1"/>
    <col min="1797" max="1798" width="14.42578125" style="45" bestFit="1" customWidth="1"/>
    <col min="1799" max="1799" width="15.42578125" style="45" bestFit="1" customWidth="1"/>
    <col min="1800" max="1800" width="14.42578125" style="45" bestFit="1" customWidth="1"/>
    <col min="1801" max="2048" width="11.42578125" style="45"/>
    <col min="2049" max="2049" width="30.7109375" style="45" bestFit="1" customWidth="1"/>
    <col min="2050" max="2050" width="14.42578125" style="45" bestFit="1" customWidth="1"/>
    <col min="2051" max="2051" width="14.42578125" style="45" customWidth="1"/>
    <col min="2052" max="2052" width="19.140625" style="45" bestFit="1" customWidth="1"/>
    <col min="2053" max="2054" width="14.42578125" style="45" bestFit="1" customWidth="1"/>
    <col min="2055" max="2055" width="15.42578125" style="45" bestFit="1" customWidth="1"/>
    <col min="2056" max="2056" width="14.42578125" style="45" bestFit="1" customWidth="1"/>
    <col min="2057" max="2304" width="11.42578125" style="45"/>
    <col min="2305" max="2305" width="30.7109375" style="45" bestFit="1" customWidth="1"/>
    <col min="2306" max="2306" width="14.42578125" style="45" bestFit="1" customWidth="1"/>
    <col min="2307" max="2307" width="14.42578125" style="45" customWidth="1"/>
    <col min="2308" max="2308" width="19.140625" style="45" bestFit="1" customWidth="1"/>
    <col min="2309" max="2310" width="14.42578125" style="45" bestFit="1" customWidth="1"/>
    <col min="2311" max="2311" width="15.42578125" style="45" bestFit="1" customWidth="1"/>
    <col min="2312" max="2312" width="14.42578125" style="45" bestFit="1" customWidth="1"/>
    <col min="2313" max="2560" width="11.42578125" style="45"/>
    <col min="2561" max="2561" width="30.7109375" style="45" bestFit="1" customWidth="1"/>
    <col min="2562" max="2562" width="14.42578125" style="45" bestFit="1" customWidth="1"/>
    <col min="2563" max="2563" width="14.42578125" style="45" customWidth="1"/>
    <col min="2564" max="2564" width="19.140625" style="45" bestFit="1" customWidth="1"/>
    <col min="2565" max="2566" width="14.42578125" style="45" bestFit="1" customWidth="1"/>
    <col min="2567" max="2567" width="15.42578125" style="45" bestFit="1" customWidth="1"/>
    <col min="2568" max="2568" width="14.42578125" style="45" bestFit="1" customWidth="1"/>
    <col min="2569" max="2816" width="11.42578125" style="45"/>
    <col min="2817" max="2817" width="30.7109375" style="45" bestFit="1" customWidth="1"/>
    <col min="2818" max="2818" width="14.42578125" style="45" bestFit="1" customWidth="1"/>
    <col min="2819" max="2819" width="14.42578125" style="45" customWidth="1"/>
    <col min="2820" max="2820" width="19.140625" style="45" bestFit="1" customWidth="1"/>
    <col min="2821" max="2822" width="14.42578125" style="45" bestFit="1" customWidth="1"/>
    <col min="2823" max="2823" width="15.42578125" style="45" bestFit="1" customWidth="1"/>
    <col min="2824" max="2824" width="14.42578125" style="45" bestFit="1" customWidth="1"/>
    <col min="2825" max="3072" width="11.42578125" style="45"/>
    <col min="3073" max="3073" width="30.7109375" style="45" bestFit="1" customWidth="1"/>
    <col min="3074" max="3074" width="14.42578125" style="45" bestFit="1" customWidth="1"/>
    <col min="3075" max="3075" width="14.42578125" style="45" customWidth="1"/>
    <col min="3076" max="3076" width="19.140625" style="45" bestFit="1" customWidth="1"/>
    <col min="3077" max="3078" width="14.42578125" style="45" bestFit="1" customWidth="1"/>
    <col min="3079" max="3079" width="15.42578125" style="45" bestFit="1" customWidth="1"/>
    <col min="3080" max="3080" width="14.42578125" style="45" bestFit="1" customWidth="1"/>
    <col min="3081" max="3328" width="11.42578125" style="45"/>
    <col min="3329" max="3329" width="30.7109375" style="45" bestFit="1" customWidth="1"/>
    <col min="3330" max="3330" width="14.42578125" style="45" bestFit="1" customWidth="1"/>
    <col min="3331" max="3331" width="14.42578125" style="45" customWidth="1"/>
    <col min="3332" max="3332" width="19.140625" style="45" bestFit="1" customWidth="1"/>
    <col min="3333" max="3334" width="14.42578125" style="45" bestFit="1" customWidth="1"/>
    <col min="3335" max="3335" width="15.42578125" style="45" bestFit="1" customWidth="1"/>
    <col min="3336" max="3336" width="14.42578125" style="45" bestFit="1" customWidth="1"/>
    <col min="3337" max="3584" width="11.42578125" style="45"/>
    <col min="3585" max="3585" width="30.7109375" style="45" bestFit="1" customWidth="1"/>
    <col min="3586" max="3586" width="14.42578125" style="45" bestFit="1" customWidth="1"/>
    <col min="3587" max="3587" width="14.42578125" style="45" customWidth="1"/>
    <col min="3588" max="3588" width="19.140625" style="45" bestFit="1" customWidth="1"/>
    <col min="3589" max="3590" width="14.42578125" style="45" bestFit="1" customWidth="1"/>
    <col min="3591" max="3591" width="15.42578125" style="45" bestFit="1" customWidth="1"/>
    <col min="3592" max="3592" width="14.42578125" style="45" bestFit="1" customWidth="1"/>
    <col min="3593" max="3840" width="11.42578125" style="45"/>
    <col min="3841" max="3841" width="30.7109375" style="45" bestFit="1" customWidth="1"/>
    <col min="3842" max="3842" width="14.42578125" style="45" bestFit="1" customWidth="1"/>
    <col min="3843" max="3843" width="14.42578125" style="45" customWidth="1"/>
    <col min="3844" max="3844" width="19.140625" style="45" bestFit="1" customWidth="1"/>
    <col min="3845" max="3846" width="14.42578125" style="45" bestFit="1" customWidth="1"/>
    <col min="3847" max="3847" width="15.42578125" style="45" bestFit="1" customWidth="1"/>
    <col min="3848" max="3848" width="14.42578125" style="45" bestFit="1" customWidth="1"/>
    <col min="3849" max="4096" width="11.42578125" style="45"/>
    <col min="4097" max="4097" width="30.7109375" style="45" bestFit="1" customWidth="1"/>
    <col min="4098" max="4098" width="14.42578125" style="45" bestFit="1" customWidth="1"/>
    <col min="4099" max="4099" width="14.42578125" style="45" customWidth="1"/>
    <col min="4100" max="4100" width="19.140625" style="45" bestFit="1" customWidth="1"/>
    <col min="4101" max="4102" width="14.42578125" style="45" bestFit="1" customWidth="1"/>
    <col min="4103" max="4103" width="15.42578125" style="45" bestFit="1" customWidth="1"/>
    <col min="4104" max="4104" width="14.42578125" style="45" bestFit="1" customWidth="1"/>
    <col min="4105" max="4352" width="11.42578125" style="45"/>
    <col min="4353" max="4353" width="30.7109375" style="45" bestFit="1" customWidth="1"/>
    <col min="4354" max="4354" width="14.42578125" style="45" bestFit="1" customWidth="1"/>
    <col min="4355" max="4355" width="14.42578125" style="45" customWidth="1"/>
    <col min="4356" max="4356" width="19.140625" style="45" bestFit="1" customWidth="1"/>
    <col min="4357" max="4358" width="14.42578125" style="45" bestFit="1" customWidth="1"/>
    <col min="4359" max="4359" width="15.42578125" style="45" bestFit="1" customWidth="1"/>
    <col min="4360" max="4360" width="14.42578125" style="45" bestFit="1" customWidth="1"/>
    <col min="4361" max="4608" width="11.42578125" style="45"/>
    <col min="4609" max="4609" width="30.7109375" style="45" bestFit="1" customWidth="1"/>
    <col min="4610" max="4610" width="14.42578125" style="45" bestFit="1" customWidth="1"/>
    <col min="4611" max="4611" width="14.42578125" style="45" customWidth="1"/>
    <col min="4612" max="4612" width="19.140625" style="45" bestFit="1" customWidth="1"/>
    <col min="4613" max="4614" width="14.42578125" style="45" bestFit="1" customWidth="1"/>
    <col min="4615" max="4615" width="15.42578125" style="45" bestFit="1" customWidth="1"/>
    <col min="4616" max="4616" width="14.42578125" style="45" bestFit="1" customWidth="1"/>
    <col min="4617" max="4864" width="11.42578125" style="45"/>
    <col min="4865" max="4865" width="30.7109375" style="45" bestFit="1" customWidth="1"/>
    <col min="4866" max="4866" width="14.42578125" style="45" bestFit="1" customWidth="1"/>
    <col min="4867" max="4867" width="14.42578125" style="45" customWidth="1"/>
    <col min="4868" max="4868" width="19.140625" style="45" bestFit="1" customWidth="1"/>
    <col min="4869" max="4870" width="14.42578125" style="45" bestFit="1" customWidth="1"/>
    <col min="4871" max="4871" width="15.42578125" style="45" bestFit="1" customWidth="1"/>
    <col min="4872" max="4872" width="14.42578125" style="45" bestFit="1" customWidth="1"/>
    <col min="4873" max="5120" width="11.42578125" style="45"/>
    <col min="5121" max="5121" width="30.7109375" style="45" bestFit="1" customWidth="1"/>
    <col min="5122" max="5122" width="14.42578125" style="45" bestFit="1" customWidth="1"/>
    <col min="5123" max="5123" width="14.42578125" style="45" customWidth="1"/>
    <col min="5124" max="5124" width="19.140625" style="45" bestFit="1" customWidth="1"/>
    <col min="5125" max="5126" width="14.42578125" style="45" bestFit="1" customWidth="1"/>
    <col min="5127" max="5127" width="15.42578125" style="45" bestFit="1" customWidth="1"/>
    <col min="5128" max="5128" width="14.42578125" style="45" bestFit="1" customWidth="1"/>
    <col min="5129" max="5376" width="11.42578125" style="45"/>
    <col min="5377" max="5377" width="30.7109375" style="45" bestFit="1" customWidth="1"/>
    <col min="5378" max="5378" width="14.42578125" style="45" bestFit="1" customWidth="1"/>
    <col min="5379" max="5379" width="14.42578125" style="45" customWidth="1"/>
    <col min="5380" max="5380" width="19.140625" style="45" bestFit="1" customWidth="1"/>
    <col min="5381" max="5382" width="14.42578125" style="45" bestFit="1" customWidth="1"/>
    <col min="5383" max="5383" width="15.42578125" style="45" bestFit="1" customWidth="1"/>
    <col min="5384" max="5384" width="14.42578125" style="45" bestFit="1" customWidth="1"/>
    <col min="5385" max="5632" width="11.42578125" style="45"/>
    <col min="5633" max="5633" width="30.7109375" style="45" bestFit="1" customWidth="1"/>
    <col min="5634" max="5634" width="14.42578125" style="45" bestFit="1" customWidth="1"/>
    <col min="5635" max="5635" width="14.42578125" style="45" customWidth="1"/>
    <col min="5636" max="5636" width="19.140625" style="45" bestFit="1" customWidth="1"/>
    <col min="5637" max="5638" width="14.42578125" style="45" bestFit="1" customWidth="1"/>
    <col min="5639" max="5639" width="15.42578125" style="45" bestFit="1" customWidth="1"/>
    <col min="5640" max="5640" width="14.42578125" style="45" bestFit="1" customWidth="1"/>
    <col min="5641" max="5888" width="11.42578125" style="45"/>
    <col min="5889" max="5889" width="30.7109375" style="45" bestFit="1" customWidth="1"/>
    <col min="5890" max="5890" width="14.42578125" style="45" bestFit="1" customWidth="1"/>
    <col min="5891" max="5891" width="14.42578125" style="45" customWidth="1"/>
    <col min="5892" max="5892" width="19.140625" style="45" bestFit="1" customWidth="1"/>
    <col min="5893" max="5894" width="14.42578125" style="45" bestFit="1" customWidth="1"/>
    <col min="5895" max="5895" width="15.42578125" style="45" bestFit="1" customWidth="1"/>
    <col min="5896" max="5896" width="14.42578125" style="45" bestFit="1" customWidth="1"/>
    <col min="5897" max="6144" width="11.42578125" style="45"/>
    <col min="6145" max="6145" width="30.7109375" style="45" bestFit="1" customWidth="1"/>
    <col min="6146" max="6146" width="14.42578125" style="45" bestFit="1" customWidth="1"/>
    <col min="6147" max="6147" width="14.42578125" style="45" customWidth="1"/>
    <col min="6148" max="6148" width="19.140625" style="45" bestFit="1" customWidth="1"/>
    <col min="6149" max="6150" width="14.42578125" style="45" bestFit="1" customWidth="1"/>
    <col min="6151" max="6151" width="15.42578125" style="45" bestFit="1" customWidth="1"/>
    <col min="6152" max="6152" width="14.42578125" style="45" bestFit="1" customWidth="1"/>
    <col min="6153" max="6400" width="11.42578125" style="45"/>
    <col min="6401" max="6401" width="30.7109375" style="45" bestFit="1" customWidth="1"/>
    <col min="6402" max="6402" width="14.42578125" style="45" bestFit="1" customWidth="1"/>
    <col min="6403" max="6403" width="14.42578125" style="45" customWidth="1"/>
    <col min="6404" max="6404" width="19.140625" style="45" bestFit="1" customWidth="1"/>
    <col min="6405" max="6406" width="14.42578125" style="45" bestFit="1" customWidth="1"/>
    <col min="6407" max="6407" width="15.42578125" style="45" bestFit="1" customWidth="1"/>
    <col min="6408" max="6408" width="14.42578125" style="45" bestFit="1" customWidth="1"/>
    <col min="6409" max="6656" width="11.42578125" style="45"/>
    <col min="6657" max="6657" width="30.7109375" style="45" bestFit="1" customWidth="1"/>
    <col min="6658" max="6658" width="14.42578125" style="45" bestFit="1" customWidth="1"/>
    <col min="6659" max="6659" width="14.42578125" style="45" customWidth="1"/>
    <col min="6660" max="6660" width="19.140625" style="45" bestFit="1" customWidth="1"/>
    <col min="6661" max="6662" width="14.42578125" style="45" bestFit="1" customWidth="1"/>
    <col min="6663" max="6663" width="15.42578125" style="45" bestFit="1" customWidth="1"/>
    <col min="6664" max="6664" width="14.42578125" style="45" bestFit="1" customWidth="1"/>
    <col min="6665" max="6912" width="11.42578125" style="45"/>
    <col min="6913" max="6913" width="30.7109375" style="45" bestFit="1" customWidth="1"/>
    <col min="6914" max="6914" width="14.42578125" style="45" bestFit="1" customWidth="1"/>
    <col min="6915" max="6915" width="14.42578125" style="45" customWidth="1"/>
    <col min="6916" max="6916" width="19.140625" style="45" bestFit="1" customWidth="1"/>
    <col min="6917" max="6918" width="14.42578125" style="45" bestFit="1" customWidth="1"/>
    <col min="6919" max="6919" width="15.42578125" style="45" bestFit="1" customWidth="1"/>
    <col min="6920" max="6920" width="14.42578125" style="45" bestFit="1" customWidth="1"/>
    <col min="6921" max="7168" width="11.42578125" style="45"/>
    <col min="7169" max="7169" width="30.7109375" style="45" bestFit="1" customWidth="1"/>
    <col min="7170" max="7170" width="14.42578125" style="45" bestFit="1" customWidth="1"/>
    <col min="7171" max="7171" width="14.42578125" style="45" customWidth="1"/>
    <col min="7172" max="7172" width="19.140625" style="45" bestFit="1" customWidth="1"/>
    <col min="7173" max="7174" width="14.42578125" style="45" bestFit="1" customWidth="1"/>
    <col min="7175" max="7175" width="15.42578125" style="45" bestFit="1" customWidth="1"/>
    <col min="7176" max="7176" width="14.42578125" style="45" bestFit="1" customWidth="1"/>
    <col min="7177" max="7424" width="11.42578125" style="45"/>
    <col min="7425" max="7425" width="30.7109375" style="45" bestFit="1" customWidth="1"/>
    <col min="7426" max="7426" width="14.42578125" style="45" bestFit="1" customWidth="1"/>
    <col min="7427" max="7427" width="14.42578125" style="45" customWidth="1"/>
    <col min="7428" max="7428" width="19.140625" style="45" bestFit="1" customWidth="1"/>
    <col min="7429" max="7430" width="14.42578125" style="45" bestFit="1" customWidth="1"/>
    <col min="7431" max="7431" width="15.42578125" style="45" bestFit="1" customWidth="1"/>
    <col min="7432" max="7432" width="14.42578125" style="45" bestFit="1" customWidth="1"/>
    <col min="7433" max="7680" width="11.42578125" style="45"/>
    <col min="7681" max="7681" width="30.7109375" style="45" bestFit="1" customWidth="1"/>
    <col min="7682" max="7682" width="14.42578125" style="45" bestFit="1" customWidth="1"/>
    <col min="7683" max="7683" width="14.42578125" style="45" customWidth="1"/>
    <col min="7684" max="7684" width="19.140625" style="45" bestFit="1" customWidth="1"/>
    <col min="7685" max="7686" width="14.42578125" style="45" bestFit="1" customWidth="1"/>
    <col min="7687" max="7687" width="15.42578125" style="45" bestFit="1" customWidth="1"/>
    <col min="7688" max="7688" width="14.42578125" style="45" bestFit="1" customWidth="1"/>
    <col min="7689" max="7936" width="11.42578125" style="45"/>
    <col min="7937" max="7937" width="30.7109375" style="45" bestFit="1" customWidth="1"/>
    <col min="7938" max="7938" width="14.42578125" style="45" bestFit="1" customWidth="1"/>
    <col min="7939" max="7939" width="14.42578125" style="45" customWidth="1"/>
    <col min="7940" max="7940" width="19.140625" style="45" bestFit="1" customWidth="1"/>
    <col min="7941" max="7942" width="14.42578125" style="45" bestFit="1" customWidth="1"/>
    <col min="7943" max="7943" width="15.42578125" style="45" bestFit="1" customWidth="1"/>
    <col min="7944" max="7944" width="14.42578125" style="45" bestFit="1" customWidth="1"/>
    <col min="7945" max="8192" width="11.42578125" style="45"/>
    <col min="8193" max="8193" width="30.7109375" style="45" bestFit="1" customWidth="1"/>
    <col min="8194" max="8194" width="14.42578125" style="45" bestFit="1" customWidth="1"/>
    <col min="8195" max="8195" width="14.42578125" style="45" customWidth="1"/>
    <col min="8196" max="8196" width="19.140625" style="45" bestFit="1" customWidth="1"/>
    <col min="8197" max="8198" width="14.42578125" style="45" bestFit="1" customWidth="1"/>
    <col min="8199" max="8199" width="15.42578125" style="45" bestFit="1" customWidth="1"/>
    <col min="8200" max="8200" width="14.42578125" style="45" bestFit="1" customWidth="1"/>
    <col min="8201" max="8448" width="11.42578125" style="45"/>
    <col min="8449" max="8449" width="30.7109375" style="45" bestFit="1" customWidth="1"/>
    <col min="8450" max="8450" width="14.42578125" style="45" bestFit="1" customWidth="1"/>
    <col min="8451" max="8451" width="14.42578125" style="45" customWidth="1"/>
    <col min="8452" max="8452" width="19.140625" style="45" bestFit="1" customWidth="1"/>
    <col min="8453" max="8454" width="14.42578125" style="45" bestFit="1" customWidth="1"/>
    <col min="8455" max="8455" width="15.42578125" style="45" bestFit="1" customWidth="1"/>
    <col min="8456" max="8456" width="14.42578125" style="45" bestFit="1" customWidth="1"/>
    <col min="8457" max="8704" width="11.42578125" style="45"/>
    <col min="8705" max="8705" width="30.7109375" style="45" bestFit="1" customWidth="1"/>
    <col min="8706" max="8706" width="14.42578125" style="45" bestFit="1" customWidth="1"/>
    <col min="8707" max="8707" width="14.42578125" style="45" customWidth="1"/>
    <col min="8708" max="8708" width="19.140625" style="45" bestFit="1" customWidth="1"/>
    <col min="8709" max="8710" width="14.42578125" style="45" bestFit="1" customWidth="1"/>
    <col min="8711" max="8711" width="15.42578125" style="45" bestFit="1" customWidth="1"/>
    <col min="8712" max="8712" width="14.42578125" style="45" bestFit="1" customWidth="1"/>
    <col min="8713" max="8960" width="11.42578125" style="45"/>
    <col min="8961" max="8961" width="30.7109375" style="45" bestFit="1" customWidth="1"/>
    <col min="8962" max="8962" width="14.42578125" style="45" bestFit="1" customWidth="1"/>
    <col min="8963" max="8963" width="14.42578125" style="45" customWidth="1"/>
    <col min="8964" max="8964" width="19.140625" style="45" bestFit="1" customWidth="1"/>
    <col min="8965" max="8966" width="14.42578125" style="45" bestFit="1" customWidth="1"/>
    <col min="8967" max="8967" width="15.42578125" style="45" bestFit="1" customWidth="1"/>
    <col min="8968" max="8968" width="14.42578125" style="45" bestFit="1" customWidth="1"/>
    <col min="8969" max="9216" width="11.42578125" style="45"/>
    <col min="9217" max="9217" width="30.7109375" style="45" bestFit="1" customWidth="1"/>
    <col min="9218" max="9218" width="14.42578125" style="45" bestFit="1" customWidth="1"/>
    <col min="9219" max="9219" width="14.42578125" style="45" customWidth="1"/>
    <col min="9220" max="9220" width="19.140625" style="45" bestFit="1" customWidth="1"/>
    <col min="9221" max="9222" width="14.42578125" style="45" bestFit="1" customWidth="1"/>
    <col min="9223" max="9223" width="15.42578125" style="45" bestFit="1" customWidth="1"/>
    <col min="9224" max="9224" width="14.42578125" style="45" bestFit="1" customWidth="1"/>
    <col min="9225" max="9472" width="11.42578125" style="45"/>
    <col min="9473" max="9473" width="30.7109375" style="45" bestFit="1" customWidth="1"/>
    <col min="9474" max="9474" width="14.42578125" style="45" bestFit="1" customWidth="1"/>
    <col min="9475" max="9475" width="14.42578125" style="45" customWidth="1"/>
    <col min="9476" max="9476" width="19.140625" style="45" bestFit="1" customWidth="1"/>
    <col min="9477" max="9478" width="14.42578125" style="45" bestFit="1" customWidth="1"/>
    <col min="9479" max="9479" width="15.42578125" style="45" bestFit="1" customWidth="1"/>
    <col min="9480" max="9480" width="14.42578125" style="45" bestFit="1" customWidth="1"/>
    <col min="9481" max="9728" width="11.42578125" style="45"/>
    <col min="9729" max="9729" width="30.7109375" style="45" bestFit="1" customWidth="1"/>
    <col min="9730" max="9730" width="14.42578125" style="45" bestFit="1" customWidth="1"/>
    <col min="9731" max="9731" width="14.42578125" style="45" customWidth="1"/>
    <col min="9732" max="9732" width="19.140625" style="45" bestFit="1" customWidth="1"/>
    <col min="9733" max="9734" width="14.42578125" style="45" bestFit="1" customWidth="1"/>
    <col min="9735" max="9735" width="15.42578125" style="45" bestFit="1" customWidth="1"/>
    <col min="9736" max="9736" width="14.42578125" style="45" bestFit="1" customWidth="1"/>
    <col min="9737" max="9984" width="11.42578125" style="45"/>
    <col min="9985" max="9985" width="30.7109375" style="45" bestFit="1" customWidth="1"/>
    <col min="9986" max="9986" width="14.42578125" style="45" bestFit="1" customWidth="1"/>
    <col min="9987" max="9987" width="14.42578125" style="45" customWidth="1"/>
    <col min="9988" max="9988" width="19.140625" style="45" bestFit="1" customWidth="1"/>
    <col min="9989" max="9990" width="14.42578125" style="45" bestFit="1" customWidth="1"/>
    <col min="9991" max="9991" width="15.42578125" style="45" bestFit="1" customWidth="1"/>
    <col min="9992" max="9992" width="14.42578125" style="45" bestFit="1" customWidth="1"/>
    <col min="9993" max="10240" width="11.42578125" style="45"/>
    <col min="10241" max="10241" width="30.7109375" style="45" bestFit="1" customWidth="1"/>
    <col min="10242" max="10242" width="14.42578125" style="45" bestFit="1" customWidth="1"/>
    <col min="10243" max="10243" width="14.42578125" style="45" customWidth="1"/>
    <col min="10244" max="10244" width="19.140625" style="45" bestFit="1" customWidth="1"/>
    <col min="10245" max="10246" width="14.42578125" style="45" bestFit="1" customWidth="1"/>
    <col min="10247" max="10247" width="15.42578125" style="45" bestFit="1" customWidth="1"/>
    <col min="10248" max="10248" width="14.42578125" style="45" bestFit="1" customWidth="1"/>
    <col min="10249" max="10496" width="11.42578125" style="45"/>
    <col min="10497" max="10497" width="30.7109375" style="45" bestFit="1" customWidth="1"/>
    <col min="10498" max="10498" width="14.42578125" style="45" bestFit="1" customWidth="1"/>
    <col min="10499" max="10499" width="14.42578125" style="45" customWidth="1"/>
    <col min="10500" max="10500" width="19.140625" style="45" bestFit="1" customWidth="1"/>
    <col min="10501" max="10502" width="14.42578125" style="45" bestFit="1" customWidth="1"/>
    <col min="10503" max="10503" width="15.42578125" style="45" bestFit="1" customWidth="1"/>
    <col min="10504" max="10504" width="14.42578125" style="45" bestFit="1" customWidth="1"/>
    <col min="10505" max="10752" width="11.42578125" style="45"/>
    <col min="10753" max="10753" width="30.7109375" style="45" bestFit="1" customWidth="1"/>
    <col min="10754" max="10754" width="14.42578125" style="45" bestFit="1" customWidth="1"/>
    <col min="10755" max="10755" width="14.42578125" style="45" customWidth="1"/>
    <col min="10756" max="10756" width="19.140625" style="45" bestFit="1" customWidth="1"/>
    <col min="10757" max="10758" width="14.42578125" style="45" bestFit="1" customWidth="1"/>
    <col min="10759" max="10759" width="15.42578125" style="45" bestFit="1" customWidth="1"/>
    <col min="10760" max="10760" width="14.42578125" style="45" bestFit="1" customWidth="1"/>
    <col min="10761" max="11008" width="11.42578125" style="45"/>
    <col min="11009" max="11009" width="30.7109375" style="45" bestFit="1" customWidth="1"/>
    <col min="11010" max="11010" width="14.42578125" style="45" bestFit="1" customWidth="1"/>
    <col min="11011" max="11011" width="14.42578125" style="45" customWidth="1"/>
    <col min="11012" max="11012" width="19.140625" style="45" bestFit="1" customWidth="1"/>
    <col min="11013" max="11014" width="14.42578125" style="45" bestFit="1" customWidth="1"/>
    <col min="11015" max="11015" width="15.42578125" style="45" bestFit="1" customWidth="1"/>
    <col min="11016" max="11016" width="14.42578125" style="45" bestFit="1" customWidth="1"/>
    <col min="11017" max="11264" width="11.42578125" style="45"/>
    <col min="11265" max="11265" width="30.7109375" style="45" bestFit="1" customWidth="1"/>
    <col min="11266" max="11266" width="14.42578125" style="45" bestFit="1" customWidth="1"/>
    <col min="11267" max="11267" width="14.42578125" style="45" customWidth="1"/>
    <col min="11268" max="11268" width="19.140625" style="45" bestFit="1" customWidth="1"/>
    <col min="11269" max="11270" width="14.42578125" style="45" bestFit="1" customWidth="1"/>
    <col min="11271" max="11271" width="15.42578125" style="45" bestFit="1" customWidth="1"/>
    <col min="11272" max="11272" width="14.42578125" style="45" bestFit="1" customWidth="1"/>
    <col min="11273" max="11520" width="11.42578125" style="45"/>
    <col min="11521" max="11521" width="30.7109375" style="45" bestFit="1" customWidth="1"/>
    <col min="11522" max="11522" width="14.42578125" style="45" bestFit="1" customWidth="1"/>
    <col min="11523" max="11523" width="14.42578125" style="45" customWidth="1"/>
    <col min="11524" max="11524" width="19.140625" style="45" bestFit="1" customWidth="1"/>
    <col min="11525" max="11526" width="14.42578125" style="45" bestFit="1" customWidth="1"/>
    <col min="11527" max="11527" width="15.42578125" style="45" bestFit="1" customWidth="1"/>
    <col min="11528" max="11528" width="14.42578125" style="45" bestFit="1" customWidth="1"/>
    <col min="11529" max="11776" width="11.42578125" style="45"/>
    <col min="11777" max="11777" width="30.7109375" style="45" bestFit="1" customWidth="1"/>
    <col min="11778" max="11778" width="14.42578125" style="45" bestFit="1" customWidth="1"/>
    <col min="11779" max="11779" width="14.42578125" style="45" customWidth="1"/>
    <col min="11780" max="11780" width="19.140625" style="45" bestFit="1" customWidth="1"/>
    <col min="11781" max="11782" width="14.42578125" style="45" bestFit="1" customWidth="1"/>
    <col min="11783" max="11783" width="15.42578125" style="45" bestFit="1" customWidth="1"/>
    <col min="11784" max="11784" width="14.42578125" style="45" bestFit="1" customWidth="1"/>
    <col min="11785" max="12032" width="11.42578125" style="45"/>
    <col min="12033" max="12033" width="30.7109375" style="45" bestFit="1" customWidth="1"/>
    <col min="12034" max="12034" width="14.42578125" style="45" bestFit="1" customWidth="1"/>
    <col min="12035" max="12035" width="14.42578125" style="45" customWidth="1"/>
    <col min="12036" max="12036" width="19.140625" style="45" bestFit="1" customWidth="1"/>
    <col min="12037" max="12038" width="14.42578125" style="45" bestFit="1" customWidth="1"/>
    <col min="12039" max="12039" width="15.42578125" style="45" bestFit="1" customWidth="1"/>
    <col min="12040" max="12040" width="14.42578125" style="45" bestFit="1" customWidth="1"/>
    <col min="12041" max="12288" width="11.42578125" style="45"/>
    <col min="12289" max="12289" width="30.7109375" style="45" bestFit="1" customWidth="1"/>
    <col min="12290" max="12290" width="14.42578125" style="45" bestFit="1" customWidth="1"/>
    <col min="12291" max="12291" width="14.42578125" style="45" customWidth="1"/>
    <col min="12292" max="12292" width="19.140625" style="45" bestFit="1" customWidth="1"/>
    <col min="12293" max="12294" width="14.42578125" style="45" bestFit="1" customWidth="1"/>
    <col min="12295" max="12295" width="15.42578125" style="45" bestFit="1" customWidth="1"/>
    <col min="12296" max="12296" width="14.42578125" style="45" bestFit="1" customWidth="1"/>
    <col min="12297" max="12544" width="11.42578125" style="45"/>
    <col min="12545" max="12545" width="30.7109375" style="45" bestFit="1" customWidth="1"/>
    <col min="12546" max="12546" width="14.42578125" style="45" bestFit="1" customWidth="1"/>
    <col min="12547" max="12547" width="14.42578125" style="45" customWidth="1"/>
    <col min="12548" max="12548" width="19.140625" style="45" bestFit="1" customWidth="1"/>
    <col min="12549" max="12550" width="14.42578125" style="45" bestFit="1" customWidth="1"/>
    <col min="12551" max="12551" width="15.42578125" style="45" bestFit="1" customWidth="1"/>
    <col min="12552" max="12552" width="14.42578125" style="45" bestFit="1" customWidth="1"/>
    <col min="12553" max="12800" width="11.42578125" style="45"/>
    <col min="12801" max="12801" width="30.7109375" style="45" bestFit="1" customWidth="1"/>
    <col min="12802" max="12802" width="14.42578125" style="45" bestFit="1" customWidth="1"/>
    <col min="12803" max="12803" width="14.42578125" style="45" customWidth="1"/>
    <col min="12804" max="12804" width="19.140625" style="45" bestFit="1" customWidth="1"/>
    <col min="12805" max="12806" width="14.42578125" style="45" bestFit="1" customWidth="1"/>
    <col min="12807" max="12807" width="15.42578125" style="45" bestFit="1" customWidth="1"/>
    <col min="12808" max="12808" width="14.42578125" style="45" bestFit="1" customWidth="1"/>
    <col min="12809" max="13056" width="11.42578125" style="45"/>
    <col min="13057" max="13057" width="30.7109375" style="45" bestFit="1" customWidth="1"/>
    <col min="13058" max="13058" width="14.42578125" style="45" bestFit="1" customWidth="1"/>
    <col min="13059" max="13059" width="14.42578125" style="45" customWidth="1"/>
    <col min="13060" max="13060" width="19.140625" style="45" bestFit="1" customWidth="1"/>
    <col min="13061" max="13062" width="14.42578125" style="45" bestFit="1" customWidth="1"/>
    <col min="13063" max="13063" width="15.42578125" style="45" bestFit="1" customWidth="1"/>
    <col min="13064" max="13064" width="14.42578125" style="45" bestFit="1" customWidth="1"/>
    <col min="13065" max="13312" width="11.42578125" style="45"/>
    <col min="13313" max="13313" width="30.7109375" style="45" bestFit="1" customWidth="1"/>
    <col min="13314" max="13314" width="14.42578125" style="45" bestFit="1" customWidth="1"/>
    <col min="13315" max="13315" width="14.42578125" style="45" customWidth="1"/>
    <col min="13316" max="13316" width="19.140625" style="45" bestFit="1" customWidth="1"/>
    <col min="13317" max="13318" width="14.42578125" style="45" bestFit="1" customWidth="1"/>
    <col min="13319" max="13319" width="15.42578125" style="45" bestFit="1" customWidth="1"/>
    <col min="13320" max="13320" width="14.42578125" style="45" bestFit="1" customWidth="1"/>
    <col min="13321" max="13568" width="11.42578125" style="45"/>
    <col min="13569" max="13569" width="30.7109375" style="45" bestFit="1" customWidth="1"/>
    <col min="13570" max="13570" width="14.42578125" style="45" bestFit="1" customWidth="1"/>
    <col min="13571" max="13571" width="14.42578125" style="45" customWidth="1"/>
    <col min="13572" max="13572" width="19.140625" style="45" bestFit="1" customWidth="1"/>
    <col min="13573" max="13574" width="14.42578125" style="45" bestFit="1" customWidth="1"/>
    <col min="13575" max="13575" width="15.42578125" style="45" bestFit="1" customWidth="1"/>
    <col min="13576" max="13576" width="14.42578125" style="45" bestFit="1" customWidth="1"/>
    <col min="13577" max="13824" width="11.42578125" style="45"/>
    <col min="13825" max="13825" width="30.7109375" style="45" bestFit="1" customWidth="1"/>
    <col min="13826" max="13826" width="14.42578125" style="45" bestFit="1" customWidth="1"/>
    <col min="13827" max="13827" width="14.42578125" style="45" customWidth="1"/>
    <col min="13828" max="13828" width="19.140625" style="45" bestFit="1" customWidth="1"/>
    <col min="13829" max="13830" width="14.42578125" style="45" bestFit="1" customWidth="1"/>
    <col min="13831" max="13831" width="15.42578125" style="45" bestFit="1" customWidth="1"/>
    <col min="13832" max="13832" width="14.42578125" style="45" bestFit="1" customWidth="1"/>
    <col min="13833" max="14080" width="11.42578125" style="45"/>
    <col min="14081" max="14081" width="30.7109375" style="45" bestFit="1" customWidth="1"/>
    <col min="14082" max="14082" width="14.42578125" style="45" bestFit="1" customWidth="1"/>
    <col min="14083" max="14083" width="14.42578125" style="45" customWidth="1"/>
    <col min="14084" max="14084" width="19.140625" style="45" bestFit="1" customWidth="1"/>
    <col min="14085" max="14086" width="14.42578125" style="45" bestFit="1" customWidth="1"/>
    <col min="14087" max="14087" width="15.42578125" style="45" bestFit="1" customWidth="1"/>
    <col min="14088" max="14088" width="14.42578125" style="45" bestFit="1" customWidth="1"/>
    <col min="14089" max="14336" width="11.42578125" style="45"/>
    <col min="14337" max="14337" width="30.7109375" style="45" bestFit="1" customWidth="1"/>
    <col min="14338" max="14338" width="14.42578125" style="45" bestFit="1" customWidth="1"/>
    <col min="14339" max="14339" width="14.42578125" style="45" customWidth="1"/>
    <col min="14340" max="14340" width="19.140625" style="45" bestFit="1" customWidth="1"/>
    <col min="14341" max="14342" width="14.42578125" style="45" bestFit="1" customWidth="1"/>
    <col min="14343" max="14343" width="15.42578125" style="45" bestFit="1" customWidth="1"/>
    <col min="14344" max="14344" width="14.42578125" style="45" bestFit="1" customWidth="1"/>
    <col min="14345" max="14592" width="11.42578125" style="45"/>
    <col min="14593" max="14593" width="30.7109375" style="45" bestFit="1" customWidth="1"/>
    <col min="14594" max="14594" width="14.42578125" style="45" bestFit="1" customWidth="1"/>
    <col min="14595" max="14595" width="14.42578125" style="45" customWidth="1"/>
    <col min="14596" max="14596" width="19.140625" style="45" bestFit="1" customWidth="1"/>
    <col min="14597" max="14598" width="14.42578125" style="45" bestFit="1" customWidth="1"/>
    <col min="14599" max="14599" width="15.42578125" style="45" bestFit="1" customWidth="1"/>
    <col min="14600" max="14600" width="14.42578125" style="45" bestFit="1" customWidth="1"/>
    <col min="14601" max="14848" width="11.42578125" style="45"/>
    <col min="14849" max="14849" width="30.7109375" style="45" bestFit="1" customWidth="1"/>
    <col min="14850" max="14850" width="14.42578125" style="45" bestFit="1" customWidth="1"/>
    <col min="14851" max="14851" width="14.42578125" style="45" customWidth="1"/>
    <col min="14852" max="14852" width="19.140625" style="45" bestFit="1" customWidth="1"/>
    <col min="14853" max="14854" width="14.42578125" style="45" bestFit="1" customWidth="1"/>
    <col min="14855" max="14855" width="15.42578125" style="45" bestFit="1" customWidth="1"/>
    <col min="14856" max="14856" width="14.42578125" style="45" bestFit="1" customWidth="1"/>
    <col min="14857" max="15104" width="11.42578125" style="45"/>
    <col min="15105" max="15105" width="30.7109375" style="45" bestFit="1" customWidth="1"/>
    <col min="15106" max="15106" width="14.42578125" style="45" bestFit="1" customWidth="1"/>
    <col min="15107" max="15107" width="14.42578125" style="45" customWidth="1"/>
    <col min="15108" max="15108" width="19.140625" style="45" bestFit="1" customWidth="1"/>
    <col min="15109" max="15110" width="14.42578125" style="45" bestFit="1" customWidth="1"/>
    <col min="15111" max="15111" width="15.42578125" style="45" bestFit="1" customWidth="1"/>
    <col min="15112" max="15112" width="14.42578125" style="45" bestFit="1" customWidth="1"/>
    <col min="15113" max="15360" width="11.42578125" style="45"/>
    <col min="15361" max="15361" width="30.7109375" style="45" bestFit="1" customWidth="1"/>
    <col min="15362" max="15362" width="14.42578125" style="45" bestFit="1" customWidth="1"/>
    <col min="15363" max="15363" width="14.42578125" style="45" customWidth="1"/>
    <col min="15364" max="15364" width="19.140625" style="45" bestFit="1" customWidth="1"/>
    <col min="15365" max="15366" width="14.42578125" style="45" bestFit="1" customWidth="1"/>
    <col min="15367" max="15367" width="15.42578125" style="45" bestFit="1" customWidth="1"/>
    <col min="15368" max="15368" width="14.42578125" style="45" bestFit="1" customWidth="1"/>
    <col min="15369" max="15616" width="11.42578125" style="45"/>
    <col min="15617" max="15617" width="30.7109375" style="45" bestFit="1" customWidth="1"/>
    <col min="15618" max="15618" width="14.42578125" style="45" bestFit="1" customWidth="1"/>
    <col min="15619" max="15619" width="14.42578125" style="45" customWidth="1"/>
    <col min="15620" max="15620" width="19.140625" style="45" bestFit="1" customWidth="1"/>
    <col min="15621" max="15622" width="14.42578125" style="45" bestFit="1" customWidth="1"/>
    <col min="15623" max="15623" width="15.42578125" style="45" bestFit="1" customWidth="1"/>
    <col min="15624" max="15624" width="14.42578125" style="45" bestFit="1" customWidth="1"/>
    <col min="15625" max="15872" width="11.42578125" style="45"/>
    <col min="15873" max="15873" width="30.7109375" style="45" bestFit="1" customWidth="1"/>
    <col min="15874" max="15874" width="14.42578125" style="45" bestFit="1" customWidth="1"/>
    <col min="15875" max="15875" width="14.42578125" style="45" customWidth="1"/>
    <col min="15876" max="15876" width="19.140625" style="45" bestFit="1" customWidth="1"/>
    <col min="15877" max="15878" width="14.42578125" style="45" bestFit="1" customWidth="1"/>
    <col min="15879" max="15879" width="15.42578125" style="45" bestFit="1" customWidth="1"/>
    <col min="15880" max="15880" width="14.42578125" style="45" bestFit="1" customWidth="1"/>
    <col min="15881" max="16128" width="11.42578125" style="45"/>
    <col min="16129" max="16129" width="30.7109375" style="45" bestFit="1" customWidth="1"/>
    <col min="16130" max="16130" width="14.42578125" style="45" bestFit="1" customWidth="1"/>
    <col min="16131" max="16131" width="14.42578125" style="45" customWidth="1"/>
    <col min="16132" max="16132" width="19.140625" style="45" bestFit="1" customWidth="1"/>
    <col min="16133" max="16134" width="14.42578125" style="45" bestFit="1" customWidth="1"/>
    <col min="16135" max="16135" width="15.42578125" style="45" bestFit="1" customWidth="1"/>
    <col min="16136" max="16136" width="14.42578125" style="45" bestFit="1" customWidth="1"/>
    <col min="16137" max="16384" width="11.42578125" style="45"/>
  </cols>
  <sheetData>
    <row r="1" spans="1:9" ht="20.25" x14ac:dyDescent="0.3">
      <c r="A1" s="44" t="s">
        <v>63</v>
      </c>
      <c r="B1" s="44"/>
      <c r="C1" s="44"/>
      <c r="D1" s="44"/>
      <c r="E1" s="44"/>
      <c r="F1" s="44"/>
      <c r="G1" s="44"/>
      <c r="H1" s="44"/>
    </row>
    <row r="2" spans="1:9" ht="13.5" thickBot="1" x14ac:dyDescent="0.25">
      <c r="A2" s="45" t="s">
        <v>64</v>
      </c>
    </row>
    <row r="3" spans="1:9" x14ac:dyDescent="0.2">
      <c r="A3" s="46" t="s">
        <v>65</v>
      </c>
      <c r="B3" s="47">
        <v>83000</v>
      </c>
      <c r="C3" s="48"/>
    </row>
    <row r="4" spans="1:9" ht="13.5" thickBot="1" x14ac:dyDescent="0.25">
      <c r="A4" s="49" t="s">
        <v>66</v>
      </c>
      <c r="B4" s="50">
        <v>0.1</v>
      </c>
      <c r="C4" s="51"/>
      <c r="D4" s="45" t="s">
        <v>67</v>
      </c>
      <c r="G4" s="52"/>
    </row>
    <row r="5" spans="1:9" x14ac:dyDescent="0.2">
      <c r="A5" s="49" t="s">
        <v>68</v>
      </c>
      <c r="B5" s="53">
        <v>10</v>
      </c>
      <c r="C5" s="54"/>
      <c r="D5" s="55" t="s">
        <v>69</v>
      </c>
      <c r="E5" s="56">
        <f>B7*B3</f>
        <v>0</v>
      </c>
    </row>
    <row r="6" spans="1:9" x14ac:dyDescent="0.2">
      <c r="A6" s="49" t="s">
        <v>70</v>
      </c>
      <c r="B6" s="53">
        <v>12</v>
      </c>
      <c r="C6" s="54"/>
      <c r="D6" s="57" t="s">
        <v>71</v>
      </c>
      <c r="E6" s="58">
        <f>B8*B3</f>
        <v>0</v>
      </c>
    </row>
    <row r="7" spans="1:9" x14ac:dyDescent="0.2">
      <c r="A7" s="49" t="s">
        <v>69</v>
      </c>
      <c r="B7" s="59">
        <v>0</v>
      </c>
      <c r="C7" s="60"/>
      <c r="D7" s="57" t="s">
        <v>72</v>
      </c>
      <c r="E7" s="61">
        <f>B3-E5-E6-B9-B10</f>
        <v>83000</v>
      </c>
      <c r="G7" s="62"/>
    </row>
    <row r="8" spans="1:9" ht="13.5" thickBot="1" x14ac:dyDescent="0.25">
      <c r="A8" s="49" t="s">
        <v>71</v>
      </c>
      <c r="B8" s="59">
        <v>0</v>
      </c>
      <c r="C8" s="60"/>
      <c r="D8" s="63" t="s">
        <v>73</v>
      </c>
      <c r="E8" s="64">
        <f>EFFECT(RATE(B5*B6,PMT(B4/B6,B5*B6,B3,,B12),E7,,B12,0.1)*B6,B6)</f>
        <v>0.10471306744135211</v>
      </c>
      <c r="G8" s="62"/>
    </row>
    <row r="9" spans="1:9" x14ac:dyDescent="0.2">
      <c r="A9" s="49" t="s">
        <v>74</v>
      </c>
      <c r="B9" s="53">
        <v>0</v>
      </c>
      <c r="C9" s="54"/>
      <c r="F9" s="65"/>
    </row>
    <row r="10" spans="1:9" x14ac:dyDescent="0.2">
      <c r="A10" s="49" t="s">
        <v>75</v>
      </c>
      <c r="B10" s="53">
        <v>0</v>
      </c>
      <c r="C10" s="54"/>
      <c r="G10" s="66"/>
    </row>
    <row r="11" spans="1:9" ht="18" x14ac:dyDescent="0.25">
      <c r="A11" s="49" t="s">
        <v>76</v>
      </c>
      <c r="B11" s="50">
        <v>0</v>
      </c>
      <c r="C11" s="51"/>
      <c r="E11" s="48"/>
      <c r="F11" s="67"/>
    </row>
    <row r="12" spans="1:9" ht="13.5" thickBot="1" x14ac:dyDescent="0.25">
      <c r="A12" s="68" t="s">
        <v>77</v>
      </c>
      <c r="B12" s="53">
        <v>0</v>
      </c>
      <c r="C12" s="54"/>
    </row>
    <row r="13" spans="1:9" x14ac:dyDescent="0.2">
      <c r="A13" s="69"/>
      <c r="B13" s="53"/>
      <c r="C13" s="54"/>
    </row>
    <row r="14" spans="1:9" x14ac:dyDescent="0.2">
      <c r="A14" s="45" t="s">
        <v>67</v>
      </c>
    </row>
    <row r="16" spans="1:9" ht="45.75" customHeight="1" x14ac:dyDescent="0.2">
      <c r="A16" s="70" t="s">
        <v>78</v>
      </c>
      <c r="B16" s="71" t="s">
        <v>79</v>
      </c>
      <c r="C16" s="71" t="s">
        <v>80</v>
      </c>
      <c r="D16" s="71" t="s">
        <v>81</v>
      </c>
      <c r="E16" s="71" t="s">
        <v>82</v>
      </c>
      <c r="F16" s="71" t="s">
        <v>83</v>
      </c>
      <c r="G16" s="71" t="s">
        <v>84</v>
      </c>
      <c r="H16" s="71" t="s">
        <v>85</v>
      </c>
      <c r="I16" s="54"/>
    </row>
    <row r="17" spans="1:10" ht="15" customHeight="1" x14ac:dyDescent="0.2">
      <c r="A17" s="70">
        <v>0</v>
      </c>
      <c r="B17" s="71"/>
      <c r="C17" s="71"/>
      <c r="D17" s="71"/>
      <c r="E17" s="71"/>
      <c r="F17" s="72">
        <f>B3</f>
        <v>83000</v>
      </c>
      <c r="G17" s="71"/>
      <c r="H17" s="71"/>
      <c r="I17" s="54"/>
    </row>
    <row r="18" spans="1:10" x14ac:dyDescent="0.2">
      <c r="A18" s="73">
        <f t="shared" ref="A18:A81" si="0">IF(A17&lt;$B$5*$B$6,A17+1,"")</f>
        <v>1</v>
      </c>
      <c r="B18" s="74">
        <f>IF(A18="","",-PMT($B$4/$B$6,$B$5*$B$6,$B$3,,$B$12))</f>
        <v>1096.8511161186218</v>
      </c>
      <c r="C18" s="79">
        <f>IF(A18="","",$B$4/$B$6*F17)</f>
        <v>691.66666666666663</v>
      </c>
      <c r="D18" s="80">
        <f t="shared" ref="D18:D41" si="1">IF(A18="","",B18-C18)</f>
        <v>405.18444945195517</v>
      </c>
      <c r="E18" s="74">
        <f>IF(A18="","",D18+E17)</f>
        <v>405.18444945195517</v>
      </c>
      <c r="F18" s="74">
        <f>IF(A18="","",$F$17-E18)</f>
        <v>82594.815550548039</v>
      </c>
      <c r="G18" s="74">
        <f>IF(A18="","",$B$11*F18)</f>
        <v>0</v>
      </c>
      <c r="H18" s="76">
        <f>IF(A18="","",F18+G18)</f>
        <v>82594.815550548039</v>
      </c>
    </row>
    <row r="19" spans="1:10" x14ac:dyDescent="0.2">
      <c r="A19" s="73">
        <f t="shared" si="0"/>
        <v>2</v>
      </c>
      <c r="B19" s="74">
        <f t="shared" ref="B19:B41" si="2">IF(A19="","",-PMT($B$4/$B$6,$B$5*$B$6,$B$3,,$B$12))</f>
        <v>1096.8511161186218</v>
      </c>
      <c r="C19" s="79">
        <f t="shared" ref="C19:C41" si="3">IF(A19="","",$B$4/$B$6*F18)</f>
        <v>688.29012958790031</v>
      </c>
      <c r="D19" s="80">
        <f t="shared" si="1"/>
        <v>408.56098653072149</v>
      </c>
      <c r="E19" s="74">
        <f t="shared" ref="E19:E40" si="4">IF(A19="","",D19+E18)</f>
        <v>813.74543598267667</v>
      </c>
      <c r="F19" s="74">
        <f t="shared" ref="F19:F41" si="5">IF(A19="","",$F$17-E19)</f>
        <v>82186.254564017319</v>
      </c>
      <c r="G19" s="74">
        <f t="shared" ref="G19:G41" si="6">IF(A19="","",$B$11*F19)</f>
        <v>0</v>
      </c>
      <c r="H19" s="76">
        <f t="shared" ref="H19:H41" si="7">IF(A19="","",F19+G19)</f>
        <v>82186.254564017319</v>
      </c>
    </row>
    <row r="20" spans="1:10" x14ac:dyDescent="0.2">
      <c r="A20" s="73">
        <f t="shared" si="0"/>
        <v>3</v>
      </c>
      <c r="B20" s="74">
        <f t="shared" si="2"/>
        <v>1096.8511161186218</v>
      </c>
      <c r="C20" s="79">
        <f t="shared" si="3"/>
        <v>684.88545470014435</v>
      </c>
      <c r="D20" s="80">
        <f t="shared" si="1"/>
        <v>411.96566141847745</v>
      </c>
      <c r="E20" s="74">
        <f t="shared" si="4"/>
        <v>1225.7110974011541</v>
      </c>
      <c r="F20" s="74">
        <f t="shared" si="5"/>
        <v>81774.288902598841</v>
      </c>
      <c r="G20" s="74">
        <f t="shared" si="6"/>
        <v>0</v>
      </c>
      <c r="H20" s="76">
        <f t="shared" si="7"/>
        <v>81774.288902598841</v>
      </c>
    </row>
    <row r="21" spans="1:10" x14ac:dyDescent="0.2">
      <c r="A21" s="73">
        <f t="shared" si="0"/>
        <v>4</v>
      </c>
      <c r="B21" s="74">
        <f t="shared" si="2"/>
        <v>1096.8511161186218</v>
      </c>
      <c r="C21" s="79">
        <f t="shared" si="3"/>
        <v>681.45240752165705</v>
      </c>
      <c r="D21" s="80">
        <f t="shared" si="1"/>
        <v>415.39870859696475</v>
      </c>
      <c r="E21" s="74">
        <f t="shared" si="4"/>
        <v>1641.1098059981189</v>
      </c>
      <c r="F21" s="74">
        <f t="shared" si="5"/>
        <v>81358.890194001884</v>
      </c>
      <c r="G21" s="74">
        <f t="shared" si="6"/>
        <v>0</v>
      </c>
      <c r="H21" s="76">
        <f t="shared" si="7"/>
        <v>81358.890194001884</v>
      </c>
    </row>
    <row r="22" spans="1:10" x14ac:dyDescent="0.2">
      <c r="A22" s="73">
        <f t="shared" si="0"/>
        <v>5</v>
      </c>
      <c r="B22" s="74">
        <f t="shared" si="2"/>
        <v>1096.8511161186218</v>
      </c>
      <c r="C22" s="75">
        <f t="shared" si="3"/>
        <v>677.99075161668236</v>
      </c>
      <c r="D22" s="74">
        <f t="shared" si="1"/>
        <v>418.86036450193944</v>
      </c>
      <c r="E22" s="74">
        <f t="shared" si="4"/>
        <v>2059.9701705000584</v>
      </c>
      <c r="F22" s="74">
        <f t="shared" si="5"/>
        <v>80940.029829499937</v>
      </c>
      <c r="G22" s="74">
        <f t="shared" si="6"/>
        <v>0</v>
      </c>
      <c r="H22" s="76">
        <f t="shared" si="7"/>
        <v>80940.029829499937</v>
      </c>
    </row>
    <row r="23" spans="1:10" x14ac:dyDescent="0.2">
      <c r="A23" s="73">
        <f t="shared" si="0"/>
        <v>6</v>
      </c>
      <c r="B23" s="74">
        <f t="shared" si="2"/>
        <v>1096.8511161186218</v>
      </c>
      <c r="C23" s="75">
        <f t="shared" si="3"/>
        <v>674.50024857916617</v>
      </c>
      <c r="D23" s="74">
        <f t="shared" si="1"/>
        <v>422.35086753945563</v>
      </c>
      <c r="E23" s="74">
        <f t="shared" si="4"/>
        <v>2482.321038039514</v>
      </c>
      <c r="F23" s="74">
        <f t="shared" si="5"/>
        <v>80517.678961960482</v>
      </c>
      <c r="G23" s="74">
        <f t="shared" si="6"/>
        <v>0</v>
      </c>
      <c r="H23" s="76">
        <f t="shared" si="7"/>
        <v>80517.678961960482</v>
      </c>
    </row>
    <row r="24" spans="1:10" x14ac:dyDescent="0.2">
      <c r="A24" s="73">
        <f t="shared" si="0"/>
        <v>7</v>
      </c>
      <c r="B24" s="74">
        <f t="shared" si="2"/>
        <v>1096.8511161186218</v>
      </c>
      <c r="C24" s="75">
        <f t="shared" si="3"/>
        <v>670.98065801633732</v>
      </c>
      <c r="D24" s="74">
        <f t="shared" si="1"/>
        <v>425.87045810228449</v>
      </c>
      <c r="E24" s="74">
        <f t="shared" si="4"/>
        <v>2908.1914961417983</v>
      </c>
      <c r="F24" s="74">
        <f t="shared" si="5"/>
        <v>80091.808503858207</v>
      </c>
      <c r="G24" s="74">
        <f t="shared" si="6"/>
        <v>0</v>
      </c>
      <c r="H24" s="76">
        <f t="shared" si="7"/>
        <v>80091.808503858207</v>
      </c>
    </row>
    <row r="25" spans="1:10" x14ac:dyDescent="0.2">
      <c r="A25" s="73">
        <f t="shared" si="0"/>
        <v>8</v>
      </c>
      <c r="B25" s="74">
        <f t="shared" si="2"/>
        <v>1096.8511161186218</v>
      </c>
      <c r="C25" s="75">
        <f t="shared" si="3"/>
        <v>667.43173753215171</v>
      </c>
      <c r="D25" s="74">
        <f t="shared" si="1"/>
        <v>429.41937858647009</v>
      </c>
      <c r="E25" s="74">
        <f t="shared" si="4"/>
        <v>3337.6108747282683</v>
      </c>
      <c r="F25" s="74">
        <f t="shared" si="5"/>
        <v>79662.389125271729</v>
      </c>
      <c r="G25" s="74">
        <f t="shared" si="6"/>
        <v>0</v>
      </c>
      <c r="H25" s="76">
        <f t="shared" si="7"/>
        <v>79662.389125271729</v>
      </c>
    </row>
    <row r="26" spans="1:10" x14ac:dyDescent="0.2">
      <c r="A26" s="73">
        <f t="shared" si="0"/>
        <v>9</v>
      </c>
      <c r="B26" s="74">
        <f t="shared" si="2"/>
        <v>1096.8511161186218</v>
      </c>
      <c r="C26" s="75">
        <f t="shared" si="3"/>
        <v>663.85324271059778</v>
      </c>
      <c r="D26" s="74">
        <f t="shared" si="1"/>
        <v>432.99787340802402</v>
      </c>
      <c r="E26" s="74">
        <f t="shared" si="4"/>
        <v>3770.6087481362924</v>
      </c>
      <c r="F26" s="74">
        <f t="shared" si="5"/>
        <v>79229.391251863708</v>
      </c>
      <c r="G26" s="74">
        <f t="shared" si="6"/>
        <v>0</v>
      </c>
      <c r="H26" s="76">
        <f t="shared" si="7"/>
        <v>79229.391251863708</v>
      </c>
    </row>
    <row r="27" spans="1:10" x14ac:dyDescent="0.2">
      <c r="A27" s="73">
        <f t="shared" si="0"/>
        <v>10</v>
      </c>
      <c r="B27" s="74">
        <f t="shared" si="2"/>
        <v>1096.8511161186218</v>
      </c>
      <c r="C27" s="75">
        <f t="shared" si="3"/>
        <v>660.2449270988642</v>
      </c>
      <c r="D27" s="74">
        <f t="shared" si="1"/>
        <v>436.60618901975761</v>
      </c>
      <c r="E27" s="74">
        <f t="shared" si="4"/>
        <v>4207.2149371560499</v>
      </c>
      <c r="F27" s="74">
        <f t="shared" si="5"/>
        <v>78792.785062843948</v>
      </c>
      <c r="G27" s="74">
        <f t="shared" si="6"/>
        <v>0</v>
      </c>
      <c r="H27" s="76">
        <f t="shared" si="7"/>
        <v>78792.785062843948</v>
      </c>
    </row>
    <row r="28" spans="1:10" x14ac:dyDescent="0.2">
      <c r="A28" s="73">
        <f t="shared" si="0"/>
        <v>11</v>
      </c>
      <c r="B28" s="74">
        <f t="shared" si="2"/>
        <v>1096.8511161186218</v>
      </c>
      <c r="C28" s="75">
        <f t="shared" si="3"/>
        <v>656.60654219036621</v>
      </c>
      <c r="D28" s="74">
        <f t="shared" si="1"/>
        <v>440.24457392825559</v>
      </c>
      <c r="E28" s="74">
        <f t="shared" si="4"/>
        <v>4647.4595110843056</v>
      </c>
      <c r="F28" s="74">
        <f t="shared" si="5"/>
        <v>78352.540488915693</v>
      </c>
      <c r="G28" s="74">
        <f t="shared" si="6"/>
        <v>0</v>
      </c>
      <c r="H28" s="76">
        <f t="shared" si="7"/>
        <v>78352.540488915693</v>
      </c>
    </row>
    <row r="29" spans="1:10" x14ac:dyDescent="0.2">
      <c r="A29" s="73">
        <f t="shared" si="0"/>
        <v>12</v>
      </c>
      <c r="B29" s="74">
        <f t="shared" si="2"/>
        <v>1096.8511161186218</v>
      </c>
      <c r="C29" s="75">
        <f t="shared" si="3"/>
        <v>652.93783740763081</v>
      </c>
      <c r="D29" s="74">
        <f t="shared" si="1"/>
        <v>443.91327871099099</v>
      </c>
      <c r="E29" s="74">
        <f t="shared" si="4"/>
        <v>5091.3727897952967</v>
      </c>
      <c r="F29" s="74">
        <f t="shared" si="5"/>
        <v>77908.627210204708</v>
      </c>
      <c r="G29" s="74">
        <f t="shared" si="6"/>
        <v>0</v>
      </c>
      <c r="H29" s="76">
        <f t="shared" si="7"/>
        <v>77908.627210204708</v>
      </c>
      <c r="I29" s="77">
        <f>SUM(C18:C29)</f>
        <v>8070.8406036281649</v>
      </c>
      <c r="J29" s="77">
        <f>SUM(D18:D29)</f>
        <v>5091.3727897952967</v>
      </c>
    </row>
    <row r="30" spans="1:10" x14ac:dyDescent="0.2">
      <c r="A30" s="73">
        <f t="shared" si="0"/>
        <v>13</v>
      </c>
      <c r="B30" s="74">
        <f t="shared" si="2"/>
        <v>1096.8511161186218</v>
      </c>
      <c r="C30" s="75">
        <f t="shared" si="3"/>
        <v>649.23856008503924</v>
      </c>
      <c r="D30" s="74">
        <f t="shared" si="1"/>
        <v>447.61255603358256</v>
      </c>
      <c r="E30" s="74">
        <f t="shared" si="4"/>
        <v>5538.985345828879</v>
      </c>
      <c r="F30" s="74">
        <f t="shared" si="5"/>
        <v>77461.014654171115</v>
      </c>
      <c r="G30" s="74">
        <f t="shared" si="6"/>
        <v>0</v>
      </c>
      <c r="H30" s="76">
        <f t="shared" si="7"/>
        <v>77461.014654171115</v>
      </c>
    </row>
    <row r="31" spans="1:10" x14ac:dyDescent="0.2">
      <c r="A31" s="73">
        <f t="shared" si="0"/>
        <v>14</v>
      </c>
      <c r="B31" s="74">
        <f t="shared" si="2"/>
        <v>1096.8511161186218</v>
      </c>
      <c r="C31" s="75">
        <f t="shared" si="3"/>
        <v>645.5084554514259</v>
      </c>
      <c r="D31" s="74">
        <f t="shared" si="1"/>
        <v>451.3426606671959</v>
      </c>
      <c r="E31" s="74">
        <f t="shared" si="4"/>
        <v>5990.3280064960745</v>
      </c>
      <c r="F31" s="74">
        <f t="shared" si="5"/>
        <v>77009.671993503929</v>
      </c>
      <c r="G31" s="74">
        <f t="shared" si="6"/>
        <v>0</v>
      </c>
      <c r="H31" s="76">
        <f t="shared" si="7"/>
        <v>77009.671993503929</v>
      </c>
    </row>
    <row r="32" spans="1:10" x14ac:dyDescent="0.2">
      <c r="A32" s="73">
        <f t="shared" si="0"/>
        <v>15</v>
      </c>
      <c r="B32" s="74">
        <f t="shared" si="2"/>
        <v>1096.8511161186218</v>
      </c>
      <c r="C32" s="75">
        <f t="shared" si="3"/>
        <v>641.74726661253271</v>
      </c>
      <c r="D32" s="74">
        <f t="shared" si="1"/>
        <v>455.10384950608909</v>
      </c>
      <c r="E32" s="74">
        <f t="shared" si="4"/>
        <v>6445.4318560021638</v>
      </c>
      <c r="F32" s="74">
        <f t="shared" si="5"/>
        <v>76554.568143997836</v>
      </c>
      <c r="G32" s="74">
        <f t="shared" si="6"/>
        <v>0</v>
      </c>
      <c r="H32" s="76">
        <f t="shared" si="7"/>
        <v>76554.568143997836</v>
      </c>
    </row>
    <row r="33" spans="1:10" x14ac:dyDescent="0.2">
      <c r="A33" s="73">
        <f t="shared" si="0"/>
        <v>16</v>
      </c>
      <c r="B33" s="74">
        <f t="shared" si="2"/>
        <v>1096.8511161186218</v>
      </c>
      <c r="C33" s="75">
        <f t="shared" si="3"/>
        <v>637.95473453331533</v>
      </c>
      <c r="D33" s="74">
        <f t="shared" si="1"/>
        <v>458.89638158530647</v>
      </c>
      <c r="E33" s="74">
        <f t="shared" si="4"/>
        <v>6904.3282375874705</v>
      </c>
      <c r="F33" s="74">
        <f t="shared" si="5"/>
        <v>76095.67176241253</v>
      </c>
      <c r="G33" s="74">
        <f t="shared" si="6"/>
        <v>0</v>
      </c>
      <c r="H33" s="76">
        <f t="shared" si="7"/>
        <v>76095.67176241253</v>
      </c>
    </row>
    <row r="34" spans="1:10" x14ac:dyDescent="0.2">
      <c r="A34" s="73">
        <f t="shared" si="0"/>
        <v>17</v>
      </c>
      <c r="B34" s="74">
        <f t="shared" si="2"/>
        <v>1096.8511161186218</v>
      </c>
      <c r="C34" s="75">
        <f t="shared" si="3"/>
        <v>634.13059802010446</v>
      </c>
      <c r="D34" s="74">
        <f t="shared" si="1"/>
        <v>462.72051809851735</v>
      </c>
      <c r="E34" s="74">
        <f t="shared" si="4"/>
        <v>7367.048755685988</v>
      </c>
      <c r="F34" s="74">
        <f t="shared" si="5"/>
        <v>75632.951244314012</v>
      </c>
      <c r="G34" s="74">
        <f t="shared" si="6"/>
        <v>0</v>
      </c>
      <c r="H34" s="76">
        <f t="shared" si="7"/>
        <v>75632.951244314012</v>
      </c>
    </row>
    <row r="35" spans="1:10" x14ac:dyDescent="0.2">
      <c r="A35" s="73">
        <f t="shared" si="0"/>
        <v>18</v>
      </c>
      <c r="B35" s="74">
        <f t="shared" si="2"/>
        <v>1096.8511161186218</v>
      </c>
      <c r="C35" s="75">
        <f t="shared" si="3"/>
        <v>630.27459370261681</v>
      </c>
      <c r="D35" s="74">
        <f t="shared" si="1"/>
        <v>466.57652241600499</v>
      </c>
      <c r="E35" s="74">
        <f t="shared" si="4"/>
        <v>7833.625278101993</v>
      </c>
      <c r="F35" s="74">
        <f t="shared" si="5"/>
        <v>75166.374721898013</v>
      </c>
      <c r="G35" s="74">
        <f t="shared" si="6"/>
        <v>0</v>
      </c>
      <c r="H35" s="76">
        <f t="shared" si="7"/>
        <v>75166.374721898013</v>
      </c>
    </row>
    <row r="36" spans="1:10" x14ac:dyDescent="0.2">
      <c r="A36" s="73">
        <f t="shared" si="0"/>
        <v>19</v>
      </c>
      <c r="B36" s="74">
        <f t="shared" si="2"/>
        <v>1096.8511161186218</v>
      </c>
      <c r="C36" s="75">
        <f t="shared" si="3"/>
        <v>626.38645601581675</v>
      </c>
      <c r="D36" s="74">
        <f t="shared" si="1"/>
        <v>470.46466010280506</v>
      </c>
      <c r="E36" s="74">
        <f t="shared" si="4"/>
        <v>8304.0899382047974</v>
      </c>
      <c r="F36" s="74">
        <f t="shared" si="5"/>
        <v>74695.910061795206</v>
      </c>
      <c r="G36" s="74">
        <f t="shared" si="6"/>
        <v>0</v>
      </c>
      <c r="H36" s="76">
        <f t="shared" si="7"/>
        <v>74695.910061795206</v>
      </c>
    </row>
    <row r="37" spans="1:10" x14ac:dyDescent="0.2">
      <c r="A37" s="73">
        <f t="shared" si="0"/>
        <v>20</v>
      </c>
      <c r="B37" s="74">
        <f t="shared" si="2"/>
        <v>1096.8511161186218</v>
      </c>
      <c r="C37" s="75">
        <f t="shared" si="3"/>
        <v>622.46591718162676</v>
      </c>
      <c r="D37" s="74">
        <f t="shared" si="1"/>
        <v>474.38519893699504</v>
      </c>
      <c r="E37" s="74">
        <f t="shared" si="4"/>
        <v>8778.4751371417915</v>
      </c>
      <c r="F37" s="74">
        <f t="shared" si="5"/>
        <v>74221.524862858205</v>
      </c>
      <c r="G37" s="74">
        <f t="shared" si="6"/>
        <v>0</v>
      </c>
      <c r="H37" s="76">
        <f t="shared" si="7"/>
        <v>74221.524862858205</v>
      </c>
    </row>
    <row r="38" spans="1:10" x14ac:dyDescent="0.2">
      <c r="A38" s="73">
        <f t="shared" si="0"/>
        <v>21</v>
      </c>
      <c r="B38" s="74">
        <f t="shared" si="2"/>
        <v>1096.8511161186218</v>
      </c>
      <c r="C38" s="75">
        <f t="shared" si="3"/>
        <v>618.512707190485</v>
      </c>
      <c r="D38" s="74">
        <f t="shared" si="1"/>
        <v>478.3384089281368</v>
      </c>
      <c r="E38" s="74">
        <f t="shared" si="4"/>
        <v>9256.8135460699286</v>
      </c>
      <c r="F38" s="74">
        <f t="shared" si="5"/>
        <v>73743.186453930073</v>
      </c>
      <c r="G38" s="74">
        <f t="shared" si="6"/>
        <v>0</v>
      </c>
      <c r="H38" s="76">
        <f t="shared" si="7"/>
        <v>73743.186453930073</v>
      </c>
    </row>
    <row r="39" spans="1:10" x14ac:dyDescent="0.2">
      <c r="A39" s="73">
        <f t="shared" si="0"/>
        <v>22</v>
      </c>
      <c r="B39" s="74">
        <f t="shared" si="2"/>
        <v>1096.8511161186218</v>
      </c>
      <c r="C39" s="75">
        <f t="shared" si="3"/>
        <v>614.52655378275063</v>
      </c>
      <c r="D39" s="74">
        <f t="shared" si="1"/>
        <v>482.32456233587118</v>
      </c>
      <c r="E39" s="74">
        <f t="shared" si="4"/>
        <v>9739.1381084057994</v>
      </c>
      <c r="F39" s="74">
        <f t="shared" si="5"/>
        <v>73260.861891594206</v>
      </c>
      <c r="G39" s="74">
        <f t="shared" si="6"/>
        <v>0</v>
      </c>
      <c r="H39" s="76">
        <f t="shared" si="7"/>
        <v>73260.861891594206</v>
      </c>
    </row>
    <row r="40" spans="1:10" x14ac:dyDescent="0.2">
      <c r="A40" s="73">
        <f t="shared" si="0"/>
        <v>23</v>
      </c>
      <c r="B40" s="74">
        <f t="shared" si="2"/>
        <v>1096.8511161186218</v>
      </c>
      <c r="C40" s="75">
        <f t="shared" si="3"/>
        <v>610.50718242995174</v>
      </c>
      <c r="D40" s="74">
        <f t="shared" si="1"/>
        <v>486.34393368867006</v>
      </c>
      <c r="E40" s="74">
        <f t="shared" si="4"/>
        <v>10225.482042094469</v>
      </c>
      <c r="F40" s="74">
        <f t="shared" si="5"/>
        <v>72774.517957905526</v>
      </c>
      <c r="G40" s="74">
        <f t="shared" si="6"/>
        <v>0</v>
      </c>
      <c r="H40" s="76">
        <f t="shared" si="7"/>
        <v>72774.517957905526</v>
      </c>
    </row>
    <row r="41" spans="1:10" x14ac:dyDescent="0.2">
      <c r="A41" s="73">
        <f t="shared" si="0"/>
        <v>24</v>
      </c>
      <c r="B41" s="74">
        <f t="shared" si="2"/>
        <v>1096.8511161186218</v>
      </c>
      <c r="C41" s="75">
        <f t="shared" si="3"/>
        <v>606.4543163158794</v>
      </c>
      <c r="D41" s="74">
        <f t="shared" si="1"/>
        <v>490.39679980274241</v>
      </c>
      <c r="E41" s="74">
        <f>IF(A41="","",D41+E40)</f>
        <v>10715.878841897211</v>
      </c>
      <c r="F41" s="74">
        <f t="shared" si="5"/>
        <v>72284.121158102789</v>
      </c>
      <c r="G41" s="74">
        <f t="shared" si="6"/>
        <v>0</v>
      </c>
      <c r="H41" s="76">
        <f t="shared" si="7"/>
        <v>72284.121158102789</v>
      </c>
      <c r="I41" s="77">
        <f>SUM(C30:C41)</f>
        <v>7537.7073413215458</v>
      </c>
      <c r="J41" s="77">
        <f>SUM(D30:D41)</f>
        <v>5624.5060521019186</v>
      </c>
    </row>
    <row r="42" spans="1:10" x14ac:dyDescent="0.2">
      <c r="A42" s="54">
        <f t="shared" si="0"/>
        <v>25</v>
      </c>
      <c r="B42" s="48">
        <f t="shared" ref="B42:B105" si="8">IF(A42&lt;=$B$5*$B$6,-PMT($B$4/$B$6,$B$5*$B$6,$B$3,,$B$12),"")</f>
        <v>1096.8511161186218</v>
      </c>
      <c r="C42" s="78">
        <f t="shared" ref="C42:C105" si="9">IF(A42&lt;=$B$5*$B$6,-IPMT($B$4/$B$6,A42,$B$5*$B$6,$B$3,,$B$12),"")</f>
        <v>602.36767631752321</v>
      </c>
      <c r="D42" s="48">
        <f t="shared" ref="D42:D105" si="10">IF(A42&lt;=$B$5*$B$6,-PPMT($B$4/$B$6,A42,$B$5*$B$6,$B$3,,$B$12),"")</f>
        <v>494.48343980109854</v>
      </c>
      <c r="E42" s="48">
        <f>IF(A42&lt;=$B$5*$B$6,SUM($D$18:D42),"")</f>
        <v>11210.36228169831</v>
      </c>
      <c r="F42" s="48">
        <f t="shared" ref="F42:F105" si="11">IF(A42&lt;=$B$5*$B$6,$B$3-E42,"")</f>
        <v>71789.637718301688</v>
      </c>
      <c r="G42" s="48">
        <f t="shared" ref="G42:G105" si="12">IF(F42="","",$B$11*F42)</f>
        <v>0</v>
      </c>
      <c r="H42" s="48">
        <f t="shared" ref="H42:H105" si="13">IF(G42="","",F42+G42)</f>
        <v>71789.637718301688</v>
      </c>
    </row>
    <row r="43" spans="1:10" x14ac:dyDescent="0.2">
      <c r="A43" s="54">
        <f t="shared" si="0"/>
        <v>26</v>
      </c>
      <c r="B43" s="48">
        <f t="shared" si="8"/>
        <v>1096.8511161186218</v>
      </c>
      <c r="C43" s="78">
        <f t="shared" si="9"/>
        <v>598.24698098584736</v>
      </c>
      <c r="D43" s="48">
        <f t="shared" si="10"/>
        <v>498.60413513277433</v>
      </c>
      <c r="E43" s="48">
        <f>IF(A43&lt;=$B$5*$B$6,SUM($D$18:D43),"")</f>
        <v>11708.966416831085</v>
      </c>
      <c r="F43" s="48">
        <f t="shared" si="11"/>
        <v>71291.033583168915</v>
      </c>
      <c r="G43" s="48">
        <f t="shared" si="12"/>
        <v>0</v>
      </c>
      <c r="H43" s="48">
        <f t="shared" si="13"/>
        <v>71291.033583168915</v>
      </c>
    </row>
    <row r="44" spans="1:10" x14ac:dyDescent="0.2">
      <c r="A44" s="54">
        <f t="shared" si="0"/>
        <v>27</v>
      </c>
      <c r="B44" s="48">
        <f t="shared" si="8"/>
        <v>1096.8511161186218</v>
      </c>
      <c r="C44" s="78">
        <f t="shared" si="9"/>
        <v>594.09194652640758</v>
      </c>
      <c r="D44" s="48">
        <f t="shared" si="10"/>
        <v>502.75916959221416</v>
      </c>
      <c r="E44" s="48">
        <f>IF(A44&lt;=$B$5*$B$6,SUM($D$18:D44),"")</f>
        <v>12211.725586423299</v>
      </c>
      <c r="F44" s="48">
        <f t="shared" si="11"/>
        <v>70788.274413576699</v>
      </c>
      <c r="G44" s="48">
        <f t="shared" si="12"/>
        <v>0</v>
      </c>
      <c r="H44" s="48">
        <f t="shared" si="13"/>
        <v>70788.274413576699</v>
      </c>
    </row>
    <row r="45" spans="1:10" x14ac:dyDescent="0.2">
      <c r="A45" s="54">
        <f t="shared" si="0"/>
        <v>28</v>
      </c>
      <c r="B45" s="48">
        <f t="shared" si="8"/>
        <v>1096.8511161186218</v>
      </c>
      <c r="C45" s="78">
        <f t="shared" si="9"/>
        <v>589.90228677980576</v>
      </c>
      <c r="D45" s="48">
        <f t="shared" si="10"/>
        <v>506.94882933881593</v>
      </c>
      <c r="E45" s="48">
        <f>IF(A45&lt;=$B$5*$B$6,SUM($D$18:D45),"")</f>
        <v>12718.674415762116</v>
      </c>
      <c r="F45" s="48">
        <f t="shared" si="11"/>
        <v>70281.325584237886</v>
      </c>
      <c r="G45" s="48">
        <f t="shared" si="12"/>
        <v>0</v>
      </c>
      <c r="H45" s="48">
        <f t="shared" si="13"/>
        <v>70281.325584237886</v>
      </c>
    </row>
    <row r="46" spans="1:10" x14ac:dyDescent="0.2">
      <c r="A46" s="54">
        <f t="shared" si="0"/>
        <v>29</v>
      </c>
      <c r="B46" s="48">
        <f t="shared" si="8"/>
        <v>1096.8511161186218</v>
      </c>
      <c r="C46" s="78">
        <f t="shared" si="9"/>
        <v>585.67771320198233</v>
      </c>
      <c r="D46" s="48">
        <f t="shared" si="10"/>
        <v>511.17340291663942</v>
      </c>
      <c r="E46" s="48">
        <f>IF(A46&lt;=$B$5*$B$6,SUM($D$18:D46),"")</f>
        <v>13229.847818678756</v>
      </c>
      <c r="F46" s="48">
        <f t="shared" si="11"/>
        <v>69770.152181321246</v>
      </c>
      <c r="G46" s="48">
        <f t="shared" si="12"/>
        <v>0</v>
      </c>
      <c r="H46" s="48">
        <f t="shared" si="13"/>
        <v>69770.152181321246</v>
      </c>
    </row>
    <row r="47" spans="1:10" x14ac:dyDescent="0.2">
      <c r="A47" s="54">
        <f t="shared" si="0"/>
        <v>30</v>
      </c>
      <c r="B47" s="48">
        <f t="shared" si="8"/>
        <v>1096.8511161186218</v>
      </c>
      <c r="C47" s="78">
        <f t="shared" si="9"/>
        <v>581.41793484434368</v>
      </c>
      <c r="D47" s="48">
        <f t="shared" si="10"/>
        <v>515.43318127427801</v>
      </c>
      <c r="E47" s="48">
        <f>IF(A47&lt;=$B$5*$B$6,SUM($D$18:D47),"")</f>
        <v>13745.280999953035</v>
      </c>
      <c r="F47" s="48">
        <f t="shared" si="11"/>
        <v>69254.719000046971</v>
      </c>
      <c r="G47" s="48">
        <f t="shared" si="12"/>
        <v>0</v>
      </c>
      <c r="H47" s="48">
        <f t="shared" si="13"/>
        <v>69254.719000046971</v>
      </c>
    </row>
    <row r="48" spans="1:10" x14ac:dyDescent="0.2">
      <c r="A48" s="54">
        <f t="shared" si="0"/>
        <v>31</v>
      </c>
      <c r="B48" s="48">
        <f t="shared" si="8"/>
        <v>1096.8511161186218</v>
      </c>
      <c r="C48" s="78">
        <f t="shared" si="9"/>
        <v>577.12265833372476</v>
      </c>
      <c r="D48" s="48">
        <f t="shared" si="10"/>
        <v>519.72845778489716</v>
      </c>
      <c r="E48" s="48">
        <f>IF(A48&lt;=$B$5*$B$6,SUM($D$18:D48),"")</f>
        <v>14265.009457737931</v>
      </c>
      <c r="F48" s="48">
        <f t="shared" si="11"/>
        <v>68734.990542262065</v>
      </c>
      <c r="G48" s="48">
        <f t="shared" si="12"/>
        <v>0</v>
      </c>
      <c r="H48" s="48">
        <f t="shared" si="13"/>
        <v>68734.990542262065</v>
      </c>
    </row>
    <row r="49" spans="1:10" x14ac:dyDescent="0.2">
      <c r="A49" s="54">
        <f t="shared" si="0"/>
        <v>32</v>
      </c>
      <c r="B49" s="48">
        <f t="shared" si="8"/>
        <v>1096.8511161186218</v>
      </c>
      <c r="C49" s="78">
        <f t="shared" si="9"/>
        <v>572.79158785218385</v>
      </c>
      <c r="D49" s="48">
        <f t="shared" si="10"/>
        <v>524.05952826643795</v>
      </c>
      <c r="E49" s="48">
        <f>IF(A49&lt;=$B$5*$B$6,SUM($D$18:D49),"")</f>
        <v>14789.068986004369</v>
      </c>
      <c r="F49" s="48">
        <f t="shared" si="11"/>
        <v>68210.931013995636</v>
      </c>
      <c r="G49" s="48">
        <f t="shared" si="12"/>
        <v>0</v>
      </c>
      <c r="H49" s="48">
        <f t="shared" si="13"/>
        <v>68210.931013995636</v>
      </c>
    </row>
    <row r="50" spans="1:10" x14ac:dyDescent="0.2">
      <c r="A50" s="54">
        <f t="shared" si="0"/>
        <v>33</v>
      </c>
      <c r="B50" s="48">
        <f t="shared" si="8"/>
        <v>1096.8511161186218</v>
      </c>
      <c r="C50" s="78">
        <f t="shared" si="9"/>
        <v>568.42442511663035</v>
      </c>
      <c r="D50" s="48">
        <f t="shared" si="10"/>
        <v>528.42669100199157</v>
      </c>
      <c r="E50" s="48">
        <f>IF(A50&lt;=$B$5*$B$6,SUM($D$18:D50),"")</f>
        <v>15317.495677006362</v>
      </c>
      <c r="F50" s="48">
        <f t="shared" si="11"/>
        <v>67682.504322993642</v>
      </c>
      <c r="G50" s="48">
        <f t="shared" si="12"/>
        <v>0</v>
      </c>
      <c r="H50" s="48">
        <f t="shared" si="13"/>
        <v>67682.504322993642</v>
      </c>
    </row>
    <row r="51" spans="1:10" x14ac:dyDescent="0.2">
      <c r="A51" s="54">
        <f t="shared" si="0"/>
        <v>34</v>
      </c>
      <c r="B51" s="48">
        <f t="shared" si="8"/>
        <v>1096.8511161186218</v>
      </c>
      <c r="C51" s="78">
        <f t="shared" si="9"/>
        <v>564.02086935828038</v>
      </c>
      <c r="D51" s="48">
        <f t="shared" si="10"/>
        <v>532.83024676034142</v>
      </c>
      <c r="E51" s="48">
        <f>IF(A51&lt;=$B$5*$B$6,SUM($D$18:D51),"")</f>
        <v>15850.325923766703</v>
      </c>
      <c r="F51" s="48">
        <f t="shared" si="11"/>
        <v>67149.674076233292</v>
      </c>
      <c r="G51" s="48">
        <f t="shared" si="12"/>
        <v>0</v>
      </c>
      <c r="H51" s="48">
        <f t="shared" si="13"/>
        <v>67149.674076233292</v>
      </c>
    </row>
    <row r="52" spans="1:10" x14ac:dyDescent="0.2">
      <c r="A52" s="54">
        <f t="shared" si="0"/>
        <v>35</v>
      </c>
      <c r="B52" s="48">
        <f t="shared" si="8"/>
        <v>1096.8511161186218</v>
      </c>
      <c r="C52" s="78">
        <f t="shared" si="9"/>
        <v>559.58061730194413</v>
      </c>
      <c r="D52" s="48">
        <f t="shared" si="10"/>
        <v>537.27049881667756</v>
      </c>
      <c r="E52" s="48">
        <f>IF(A52&lt;=$B$5*$B$6,SUM($D$18:D52),"")</f>
        <v>16387.596422583381</v>
      </c>
      <c r="F52" s="48">
        <f t="shared" si="11"/>
        <v>66612.403577416611</v>
      </c>
      <c r="G52" s="48">
        <f t="shared" si="12"/>
        <v>0</v>
      </c>
      <c r="H52" s="48">
        <f t="shared" si="13"/>
        <v>66612.403577416611</v>
      </c>
    </row>
    <row r="53" spans="1:10" x14ac:dyDescent="0.2">
      <c r="A53" s="54">
        <f t="shared" si="0"/>
        <v>36</v>
      </c>
      <c r="B53" s="48">
        <f t="shared" si="8"/>
        <v>1096.8511161186218</v>
      </c>
      <c r="C53" s="78">
        <f t="shared" si="9"/>
        <v>555.10336314513859</v>
      </c>
      <c r="D53" s="48">
        <f t="shared" si="10"/>
        <v>541.74775297348322</v>
      </c>
      <c r="E53" s="48">
        <f>IF(A53&lt;=$B$5*$B$6,SUM($D$18:D53),"")</f>
        <v>16929.344175556864</v>
      </c>
      <c r="F53" s="48">
        <f t="shared" si="11"/>
        <v>66070.655824443136</v>
      </c>
      <c r="G53" s="48">
        <f t="shared" si="12"/>
        <v>0</v>
      </c>
      <c r="H53" s="48">
        <f t="shared" si="13"/>
        <v>66070.655824443136</v>
      </c>
      <c r="I53" s="77">
        <f>SUM(C42:C53)</f>
        <v>6948.7480597638105</v>
      </c>
      <c r="J53" s="77">
        <f>SUM(D42:D53)</f>
        <v>6213.4653336596502</v>
      </c>
    </row>
    <row r="54" spans="1:10" x14ac:dyDescent="0.2">
      <c r="A54" s="54">
        <f t="shared" si="0"/>
        <v>37</v>
      </c>
      <c r="B54" s="48">
        <f t="shared" si="8"/>
        <v>1096.8511161186218</v>
      </c>
      <c r="C54" s="78">
        <f t="shared" si="9"/>
        <v>550.58879853702615</v>
      </c>
      <c r="D54" s="48">
        <f t="shared" si="10"/>
        <v>546.26231758159565</v>
      </c>
      <c r="E54" s="48">
        <f>IF(A54&lt;=$B$5*$B$6,SUM($D$18:D54),"")</f>
        <v>17475.606493138461</v>
      </c>
      <c r="F54" s="48">
        <f t="shared" si="11"/>
        <v>65524.393506861539</v>
      </c>
      <c r="G54" s="48">
        <f t="shared" si="12"/>
        <v>0</v>
      </c>
      <c r="H54" s="48">
        <f t="shared" si="13"/>
        <v>65524.393506861539</v>
      </c>
    </row>
    <row r="55" spans="1:10" x14ac:dyDescent="0.2">
      <c r="A55" s="54">
        <f t="shared" si="0"/>
        <v>38</v>
      </c>
      <c r="B55" s="48">
        <f t="shared" si="8"/>
        <v>1096.8511161186218</v>
      </c>
      <c r="C55" s="78">
        <f t="shared" si="9"/>
        <v>546.03661255717964</v>
      </c>
      <c r="D55" s="48">
        <f t="shared" si="10"/>
        <v>550.81450356144228</v>
      </c>
      <c r="E55" s="48">
        <f>IF(A55&lt;=$B$5*$B$6,SUM($D$18:D55),"")</f>
        <v>18026.420996699904</v>
      </c>
      <c r="F55" s="48">
        <f t="shared" si="11"/>
        <v>64973.579003300096</v>
      </c>
      <c r="G55" s="48">
        <f t="shared" si="12"/>
        <v>0</v>
      </c>
      <c r="H55" s="48">
        <f t="shared" si="13"/>
        <v>64973.579003300096</v>
      </c>
    </row>
    <row r="56" spans="1:10" x14ac:dyDescent="0.2">
      <c r="A56" s="54">
        <f t="shared" si="0"/>
        <v>39</v>
      </c>
      <c r="B56" s="48">
        <f t="shared" si="8"/>
        <v>1096.8511161186218</v>
      </c>
      <c r="C56" s="78">
        <f t="shared" si="9"/>
        <v>541.44649169416755</v>
      </c>
      <c r="D56" s="48">
        <f t="shared" si="10"/>
        <v>555.40462442445425</v>
      </c>
      <c r="E56" s="48">
        <f>IF(A56&lt;=$B$5*$B$6,SUM($D$18:D56),"")</f>
        <v>18581.825621124357</v>
      </c>
      <c r="F56" s="48">
        <f t="shared" si="11"/>
        <v>64418.174378875643</v>
      </c>
      <c r="G56" s="48">
        <f t="shared" si="12"/>
        <v>0</v>
      </c>
      <c r="H56" s="48">
        <f t="shared" si="13"/>
        <v>64418.174378875643</v>
      </c>
    </row>
    <row r="57" spans="1:10" x14ac:dyDescent="0.2">
      <c r="A57" s="54">
        <f t="shared" si="0"/>
        <v>40</v>
      </c>
      <c r="B57" s="48">
        <f t="shared" si="8"/>
        <v>1096.8511161186218</v>
      </c>
      <c r="C57" s="78">
        <f t="shared" si="9"/>
        <v>536.8181198239638</v>
      </c>
      <c r="D57" s="48">
        <f t="shared" si="10"/>
        <v>560.03299629465812</v>
      </c>
      <c r="E57" s="48">
        <f>IF(A57&lt;=$B$5*$B$6,SUM($D$18:D57),"")</f>
        <v>19141.858617419017</v>
      </c>
      <c r="F57" s="48">
        <f t="shared" si="11"/>
        <v>63858.141382580987</v>
      </c>
      <c r="G57" s="48">
        <f t="shared" si="12"/>
        <v>0</v>
      </c>
      <c r="H57" s="48">
        <f t="shared" si="13"/>
        <v>63858.141382580987</v>
      </c>
    </row>
    <row r="58" spans="1:10" x14ac:dyDescent="0.2">
      <c r="A58" s="54">
        <f t="shared" si="0"/>
        <v>41</v>
      </c>
      <c r="B58" s="48">
        <f t="shared" si="8"/>
        <v>1096.8511161186218</v>
      </c>
      <c r="C58" s="78">
        <f t="shared" si="9"/>
        <v>532.15117818817498</v>
      </c>
      <c r="D58" s="48">
        <f t="shared" si="10"/>
        <v>564.69993793044694</v>
      </c>
      <c r="E58" s="48">
        <f>IF(A58&lt;=$B$5*$B$6,SUM($D$18:D58),"")</f>
        <v>19706.558555349464</v>
      </c>
      <c r="F58" s="48">
        <f t="shared" si="11"/>
        <v>63293.44144465054</v>
      </c>
      <c r="G58" s="48">
        <f t="shared" si="12"/>
        <v>0</v>
      </c>
      <c r="H58" s="48">
        <f t="shared" si="13"/>
        <v>63293.44144465054</v>
      </c>
    </row>
    <row r="59" spans="1:10" x14ac:dyDescent="0.2">
      <c r="A59" s="54">
        <f t="shared" si="0"/>
        <v>42</v>
      </c>
      <c r="B59" s="48">
        <f t="shared" si="8"/>
        <v>1096.8511161186218</v>
      </c>
      <c r="C59" s="78">
        <f t="shared" si="9"/>
        <v>527.44534537208779</v>
      </c>
      <c r="D59" s="48">
        <f t="shared" si="10"/>
        <v>569.40577074653402</v>
      </c>
      <c r="E59" s="48">
        <f>IF(A59&lt;=$B$5*$B$6,SUM($D$18:D59),"")</f>
        <v>20275.964326095997</v>
      </c>
      <c r="F59" s="48">
        <f t="shared" si="11"/>
        <v>62724.035673904</v>
      </c>
      <c r="G59" s="48">
        <f t="shared" si="12"/>
        <v>0</v>
      </c>
      <c r="H59" s="48">
        <f t="shared" si="13"/>
        <v>62724.035673904</v>
      </c>
    </row>
    <row r="60" spans="1:10" x14ac:dyDescent="0.2">
      <c r="A60" s="54">
        <f t="shared" si="0"/>
        <v>43</v>
      </c>
      <c r="B60" s="48">
        <f t="shared" si="8"/>
        <v>1096.8511161186218</v>
      </c>
      <c r="C60" s="78">
        <f t="shared" si="9"/>
        <v>522.70029728253348</v>
      </c>
      <c r="D60" s="48">
        <f t="shared" si="10"/>
        <v>574.15081883608843</v>
      </c>
      <c r="E60" s="48">
        <f>IF(A60&lt;=$B$5*$B$6,SUM($D$18:D60),"")</f>
        <v>20850.115144932086</v>
      </c>
      <c r="F60" s="48">
        <f t="shared" si="11"/>
        <v>62149.88485506791</v>
      </c>
      <c r="G60" s="48">
        <f t="shared" si="12"/>
        <v>0</v>
      </c>
      <c r="H60" s="48">
        <f t="shared" si="13"/>
        <v>62149.88485506791</v>
      </c>
    </row>
    <row r="61" spans="1:10" x14ac:dyDescent="0.2">
      <c r="A61" s="54">
        <f t="shared" si="0"/>
        <v>44</v>
      </c>
      <c r="B61" s="48">
        <f t="shared" si="8"/>
        <v>1096.8511161186218</v>
      </c>
      <c r="C61" s="78">
        <f t="shared" si="9"/>
        <v>517.91570712556597</v>
      </c>
      <c r="D61" s="48">
        <f t="shared" si="10"/>
        <v>578.93540899305572</v>
      </c>
      <c r="E61" s="48">
        <f>IF(A61&lt;=$B$5*$B$6,SUM($D$18:D61),"")</f>
        <v>21429.050553925143</v>
      </c>
      <c r="F61" s="48">
        <f t="shared" si="11"/>
        <v>61570.949446074854</v>
      </c>
      <c r="G61" s="48">
        <f t="shared" si="12"/>
        <v>0</v>
      </c>
      <c r="H61" s="48">
        <f t="shared" si="13"/>
        <v>61570.949446074854</v>
      </c>
    </row>
    <row r="62" spans="1:10" x14ac:dyDescent="0.2">
      <c r="A62" s="54">
        <f t="shared" si="0"/>
        <v>45</v>
      </c>
      <c r="B62" s="48">
        <f t="shared" si="8"/>
        <v>1096.8511161186218</v>
      </c>
      <c r="C62" s="78">
        <f t="shared" si="9"/>
        <v>513.09124538395724</v>
      </c>
      <c r="D62" s="48">
        <f t="shared" si="10"/>
        <v>583.75987073466467</v>
      </c>
      <c r="E62" s="48">
        <f>IF(A62&lt;=$B$5*$B$6,SUM($D$18:D62),"")</f>
        <v>22012.810424659809</v>
      </c>
      <c r="F62" s="48">
        <f t="shared" si="11"/>
        <v>60987.189575340191</v>
      </c>
      <c r="G62" s="48">
        <f t="shared" si="12"/>
        <v>0</v>
      </c>
      <c r="H62" s="48">
        <f t="shared" si="13"/>
        <v>60987.189575340191</v>
      </c>
    </row>
    <row r="63" spans="1:10" x14ac:dyDescent="0.2">
      <c r="A63" s="54">
        <f t="shared" si="0"/>
        <v>46</v>
      </c>
      <c r="B63" s="48">
        <f t="shared" si="8"/>
        <v>1096.8511161186218</v>
      </c>
      <c r="C63" s="78">
        <f t="shared" si="9"/>
        <v>508.22657979450179</v>
      </c>
      <c r="D63" s="48">
        <f t="shared" si="10"/>
        <v>588.62453632412019</v>
      </c>
      <c r="E63" s="48">
        <f>IF(A63&lt;=$B$5*$B$6,SUM($D$18:D63),"")</f>
        <v>22601.43496098393</v>
      </c>
      <c r="F63" s="48">
        <f t="shared" si="11"/>
        <v>60398.565039016074</v>
      </c>
      <c r="G63" s="48">
        <f t="shared" si="12"/>
        <v>0</v>
      </c>
      <c r="H63" s="48">
        <f t="shared" si="13"/>
        <v>60398.565039016074</v>
      </c>
    </row>
    <row r="64" spans="1:10" x14ac:dyDescent="0.2">
      <c r="A64" s="54">
        <f t="shared" si="0"/>
        <v>47</v>
      </c>
      <c r="B64" s="48">
        <f t="shared" si="8"/>
        <v>1096.8511161186218</v>
      </c>
      <c r="C64" s="78">
        <f t="shared" si="9"/>
        <v>503.321375325134</v>
      </c>
      <c r="D64" s="48">
        <f t="shared" si="10"/>
        <v>593.52974079348792</v>
      </c>
      <c r="E64" s="48">
        <f>IF(A64&lt;=$B$5*$B$6,SUM($D$18:D64),"")</f>
        <v>23194.964701777419</v>
      </c>
      <c r="F64" s="48">
        <f t="shared" si="11"/>
        <v>59805.035298222581</v>
      </c>
      <c r="G64" s="48">
        <f t="shared" si="12"/>
        <v>0</v>
      </c>
      <c r="H64" s="48">
        <f t="shared" si="13"/>
        <v>59805.035298222581</v>
      </c>
    </row>
    <row r="65" spans="1:8" x14ac:dyDescent="0.2">
      <c r="A65" s="54">
        <f t="shared" si="0"/>
        <v>48</v>
      </c>
      <c r="B65" s="48">
        <f t="shared" si="8"/>
        <v>1096.8511161186218</v>
      </c>
      <c r="C65" s="78">
        <f t="shared" si="9"/>
        <v>498.37529415185492</v>
      </c>
      <c r="D65" s="48">
        <f t="shared" si="10"/>
        <v>598.47582196676694</v>
      </c>
      <c r="E65" s="48">
        <f>IF(A65&lt;=$B$5*$B$6,SUM($D$18:D65),"")</f>
        <v>23793.440523744186</v>
      </c>
      <c r="F65" s="48">
        <f t="shared" si="11"/>
        <v>59206.559476255818</v>
      </c>
      <c r="G65" s="48">
        <f t="shared" si="12"/>
        <v>0</v>
      </c>
      <c r="H65" s="48">
        <f t="shared" si="13"/>
        <v>59206.559476255818</v>
      </c>
    </row>
    <row r="66" spans="1:8" x14ac:dyDescent="0.2">
      <c r="A66" s="54">
        <f t="shared" si="0"/>
        <v>49</v>
      </c>
      <c r="B66" s="48">
        <f t="shared" si="8"/>
        <v>1096.8511161186218</v>
      </c>
      <c r="C66" s="78">
        <f t="shared" si="9"/>
        <v>493.38799563546519</v>
      </c>
      <c r="D66" s="48">
        <f t="shared" si="10"/>
        <v>603.46312048315656</v>
      </c>
      <c r="E66" s="48">
        <f>IF(A66&lt;=$B$5*$B$6,SUM($D$18:D66),"")</f>
        <v>24396.903644227343</v>
      </c>
      <c r="F66" s="48">
        <f t="shared" si="11"/>
        <v>58603.096355772657</v>
      </c>
      <c r="G66" s="48">
        <f t="shared" si="12"/>
        <v>0</v>
      </c>
      <c r="H66" s="48">
        <f t="shared" si="13"/>
        <v>58603.096355772657</v>
      </c>
    </row>
    <row r="67" spans="1:8" x14ac:dyDescent="0.2">
      <c r="A67" s="54">
        <f t="shared" si="0"/>
        <v>50</v>
      </c>
      <c r="B67" s="48">
        <f t="shared" si="8"/>
        <v>1096.8511161186218</v>
      </c>
      <c r="C67" s="78">
        <f t="shared" si="9"/>
        <v>488.35913629810551</v>
      </c>
      <c r="D67" s="48">
        <f t="shared" si="10"/>
        <v>608.49197982051612</v>
      </c>
      <c r="E67" s="48">
        <f>IF(A67&lt;=$B$5*$B$6,SUM($D$18:D67),"")</f>
        <v>25005.395624047858</v>
      </c>
      <c r="F67" s="48">
        <f t="shared" si="11"/>
        <v>57994.604375952142</v>
      </c>
      <c r="G67" s="48">
        <f t="shared" si="12"/>
        <v>0</v>
      </c>
      <c r="H67" s="48">
        <f t="shared" si="13"/>
        <v>57994.604375952142</v>
      </c>
    </row>
    <row r="68" spans="1:8" x14ac:dyDescent="0.2">
      <c r="A68" s="54">
        <f t="shared" si="0"/>
        <v>51</v>
      </c>
      <c r="B68" s="48">
        <f t="shared" si="8"/>
        <v>1096.8511161186218</v>
      </c>
      <c r="C68" s="78">
        <f t="shared" si="9"/>
        <v>483.2883697996013</v>
      </c>
      <c r="D68" s="48">
        <f t="shared" si="10"/>
        <v>613.56274631902056</v>
      </c>
      <c r="E68" s="48">
        <f>IF(A68&lt;=$B$5*$B$6,SUM($D$18:D68),"")</f>
        <v>25618.95837036688</v>
      </c>
      <c r="F68" s="48">
        <f t="shared" si="11"/>
        <v>57381.041629633124</v>
      </c>
      <c r="G68" s="48">
        <f t="shared" si="12"/>
        <v>0</v>
      </c>
      <c r="H68" s="48">
        <f t="shared" si="13"/>
        <v>57381.041629633124</v>
      </c>
    </row>
    <row r="69" spans="1:8" x14ac:dyDescent="0.2">
      <c r="A69" s="54">
        <f t="shared" si="0"/>
        <v>52</v>
      </c>
      <c r="B69" s="48">
        <f t="shared" si="8"/>
        <v>1096.8511161186218</v>
      </c>
      <c r="C69" s="78">
        <f t="shared" si="9"/>
        <v>478.17534691360942</v>
      </c>
      <c r="D69" s="48">
        <f t="shared" si="10"/>
        <v>618.67576920501233</v>
      </c>
      <c r="E69" s="48">
        <f>IF(A69&lt;=$B$5*$B$6,SUM($D$18:D69),"")</f>
        <v>26237.634139571892</v>
      </c>
      <c r="F69" s="48">
        <f t="shared" si="11"/>
        <v>56762.365860428108</v>
      </c>
      <c r="G69" s="48">
        <f t="shared" si="12"/>
        <v>0</v>
      </c>
      <c r="H69" s="48">
        <f t="shared" si="13"/>
        <v>56762.365860428108</v>
      </c>
    </row>
    <row r="70" spans="1:8" x14ac:dyDescent="0.2">
      <c r="A70" s="54">
        <f t="shared" si="0"/>
        <v>53</v>
      </c>
      <c r="B70" s="48">
        <f t="shared" si="8"/>
        <v>1096.8511161186218</v>
      </c>
      <c r="C70" s="78">
        <f t="shared" si="9"/>
        <v>473.01971550356757</v>
      </c>
      <c r="D70" s="48">
        <f t="shared" si="10"/>
        <v>623.83140061505412</v>
      </c>
      <c r="E70" s="48">
        <f>IF(A70&lt;=$B$5*$B$6,SUM($D$18:D70),"")</f>
        <v>26861.465540186946</v>
      </c>
      <c r="F70" s="48">
        <f t="shared" si="11"/>
        <v>56138.534459813054</v>
      </c>
      <c r="G70" s="48">
        <f t="shared" si="12"/>
        <v>0</v>
      </c>
      <c r="H70" s="48">
        <f t="shared" si="13"/>
        <v>56138.534459813054</v>
      </c>
    </row>
    <row r="71" spans="1:8" x14ac:dyDescent="0.2">
      <c r="A71" s="54">
        <f t="shared" si="0"/>
        <v>54</v>
      </c>
      <c r="B71" s="48">
        <f t="shared" si="8"/>
        <v>1096.8511161186218</v>
      </c>
      <c r="C71" s="78">
        <f t="shared" si="9"/>
        <v>467.82112049844216</v>
      </c>
      <c r="D71" s="48">
        <f t="shared" si="10"/>
        <v>629.02999562017965</v>
      </c>
      <c r="E71" s="48">
        <f>IF(A71&lt;=$B$5*$B$6,SUM($D$18:D71),"")</f>
        <v>27490.495535807124</v>
      </c>
      <c r="F71" s="48">
        <f t="shared" si="11"/>
        <v>55509.504464192876</v>
      </c>
      <c r="G71" s="48">
        <f t="shared" si="12"/>
        <v>0</v>
      </c>
      <c r="H71" s="48">
        <f t="shared" si="13"/>
        <v>55509.504464192876</v>
      </c>
    </row>
    <row r="72" spans="1:8" x14ac:dyDescent="0.2">
      <c r="A72" s="54">
        <f t="shared" si="0"/>
        <v>55</v>
      </c>
      <c r="B72" s="48">
        <f t="shared" si="8"/>
        <v>1096.8511161186218</v>
      </c>
      <c r="C72" s="78">
        <f t="shared" si="9"/>
        <v>462.57920386827402</v>
      </c>
      <c r="D72" s="48">
        <f t="shared" si="10"/>
        <v>634.27191225034778</v>
      </c>
      <c r="E72" s="48">
        <f>IF(A72&lt;=$B$5*$B$6,SUM($D$18:D72),"")</f>
        <v>28124.767448057471</v>
      </c>
      <c r="F72" s="48">
        <f t="shared" si="11"/>
        <v>54875.232551942529</v>
      </c>
      <c r="G72" s="48">
        <f t="shared" si="12"/>
        <v>0</v>
      </c>
      <c r="H72" s="48">
        <f t="shared" si="13"/>
        <v>54875.232551942529</v>
      </c>
    </row>
    <row r="73" spans="1:8" x14ac:dyDescent="0.2">
      <c r="A73" s="54">
        <f t="shared" si="0"/>
        <v>56</v>
      </c>
      <c r="B73" s="48">
        <f t="shared" si="8"/>
        <v>1096.8511161186218</v>
      </c>
      <c r="C73" s="78">
        <f t="shared" si="9"/>
        <v>457.29360459952113</v>
      </c>
      <c r="D73" s="48">
        <f t="shared" si="10"/>
        <v>639.55751151910067</v>
      </c>
      <c r="E73" s="48">
        <f>IF(A73&lt;=$B$5*$B$6,SUM($D$18:D73),"")</f>
        <v>28764.324959576574</v>
      </c>
      <c r="F73" s="48">
        <f t="shared" si="11"/>
        <v>54235.675040423426</v>
      </c>
      <c r="G73" s="48">
        <f t="shared" si="12"/>
        <v>0</v>
      </c>
      <c r="H73" s="48">
        <f t="shared" si="13"/>
        <v>54235.675040423426</v>
      </c>
    </row>
    <row r="74" spans="1:8" x14ac:dyDescent="0.2">
      <c r="A74" s="54">
        <f t="shared" si="0"/>
        <v>57</v>
      </c>
      <c r="B74" s="48">
        <f t="shared" si="8"/>
        <v>1096.8511161186218</v>
      </c>
      <c r="C74" s="78">
        <f t="shared" si="9"/>
        <v>451.96395867019532</v>
      </c>
      <c r="D74" s="48">
        <f t="shared" si="10"/>
        <v>644.88715744842636</v>
      </c>
      <c r="E74" s="48">
        <f>IF(A74&lt;=$B$5*$B$6,SUM($D$18:D74),"")</f>
        <v>29409.212117024999</v>
      </c>
      <c r="F74" s="48">
        <f t="shared" si="11"/>
        <v>53590.787882974997</v>
      </c>
      <c r="G74" s="48">
        <f t="shared" si="12"/>
        <v>0</v>
      </c>
      <c r="H74" s="48">
        <f t="shared" si="13"/>
        <v>53590.787882974997</v>
      </c>
    </row>
    <row r="75" spans="1:8" x14ac:dyDescent="0.2">
      <c r="A75" s="54">
        <f t="shared" si="0"/>
        <v>58</v>
      </c>
      <c r="B75" s="48">
        <f t="shared" si="8"/>
        <v>1096.8511161186218</v>
      </c>
      <c r="C75" s="78">
        <f t="shared" si="9"/>
        <v>446.58989902479175</v>
      </c>
      <c r="D75" s="48">
        <f t="shared" si="10"/>
        <v>650.26121709383006</v>
      </c>
      <c r="E75" s="48">
        <f>IF(A75&lt;=$B$5*$B$6,SUM($D$18:D75),"")</f>
        <v>30059.473334118829</v>
      </c>
      <c r="F75" s="48">
        <f t="shared" si="11"/>
        <v>52940.526665881174</v>
      </c>
      <c r="G75" s="48">
        <f t="shared" si="12"/>
        <v>0</v>
      </c>
      <c r="H75" s="48">
        <f t="shared" si="13"/>
        <v>52940.526665881174</v>
      </c>
    </row>
    <row r="76" spans="1:8" x14ac:dyDescent="0.2">
      <c r="A76" s="54">
        <f t="shared" si="0"/>
        <v>59</v>
      </c>
      <c r="B76" s="48">
        <f t="shared" si="8"/>
        <v>1096.8511161186218</v>
      </c>
      <c r="C76" s="78">
        <f t="shared" si="9"/>
        <v>441.17105554900985</v>
      </c>
      <c r="D76" s="48">
        <f t="shared" si="10"/>
        <v>655.6800605696119</v>
      </c>
      <c r="E76" s="48">
        <f>IF(A76&lt;=$B$5*$B$6,SUM($D$18:D76),"")</f>
        <v>30715.153394688441</v>
      </c>
      <c r="F76" s="48">
        <f t="shared" si="11"/>
        <v>52284.846605311555</v>
      </c>
      <c r="G76" s="48">
        <f t="shared" si="12"/>
        <v>0</v>
      </c>
      <c r="H76" s="48">
        <f t="shared" si="13"/>
        <v>52284.846605311555</v>
      </c>
    </row>
    <row r="77" spans="1:8" x14ac:dyDescent="0.2">
      <c r="A77" s="54">
        <f t="shared" si="0"/>
        <v>60</v>
      </c>
      <c r="B77" s="48">
        <f t="shared" si="8"/>
        <v>1096.8511161186218</v>
      </c>
      <c r="C77" s="78">
        <f t="shared" si="9"/>
        <v>435.70705504426309</v>
      </c>
      <c r="D77" s="48">
        <f t="shared" si="10"/>
        <v>661.14406107435877</v>
      </c>
      <c r="E77" s="48">
        <f>IF(A77&lt;=$B$5*$B$6,SUM($D$18:D77),"")</f>
        <v>31376.2974557628</v>
      </c>
      <c r="F77" s="48">
        <f t="shared" si="11"/>
        <v>51623.702544237196</v>
      </c>
      <c r="G77" s="48">
        <f t="shared" si="12"/>
        <v>0</v>
      </c>
      <c r="H77" s="48">
        <f t="shared" si="13"/>
        <v>51623.702544237196</v>
      </c>
    </row>
    <row r="78" spans="1:8" x14ac:dyDescent="0.2">
      <c r="A78" s="54">
        <f t="shared" si="0"/>
        <v>61</v>
      </c>
      <c r="B78" s="48">
        <f t="shared" si="8"/>
        <v>1096.8511161186218</v>
      </c>
      <c r="C78" s="78">
        <f t="shared" si="9"/>
        <v>430.19752120197677</v>
      </c>
      <c r="D78" s="48">
        <f t="shared" si="10"/>
        <v>666.65359491664503</v>
      </c>
      <c r="E78" s="48">
        <f>IF(A78&lt;=$B$5*$B$6,SUM($D$18:D78),"")</f>
        <v>32042.951050679447</v>
      </c>
      <c r="F78" s="48">
        <f t="shared" si="11"/>
        <v>50957.048949320553</v>
      </c>
      <c r="G78" s="48">
        <f t="shared" si="12"/>
        <v>0</v>
      </c>
      <c r="H78" s="48">
        <f t="shared" si="13"/>
        <v>50957.048949320553</v>
      </c>
    </row>
    <row r="79" spans="1:8" x14ac:dyDescent="0.2">
      <c r="A79" s="54">
        <f t="shared" si="0"/>
        <v>62</v>
      </c>
      <c r="B79" s="48">
        <f t="shared" si="8"/>
        <v>1096.8511161186218</v>
      </c>
      <c r="C79" s="78">
        <f t="shared" si="9"/>
        <v>424.64207457767134</v>
      </c>
      <c r="D79" s="48">
        <f t="shared" si="10"/>
        <v>672.20904154095047</v>
      </c>
      <c r="E79" s="48">
        <f>IF(A79&lt;=$B$5*$B$6,SUM($D$18:D79),"")</f>
        <v>32715.160092220398</v>
      </c>
      <c r="F79" s="48">
        <f t="shared" si="11"/>
        <v>50284.839907779606</v>
      </c>
      <c r="G79" s="48">
        <f t="shared" si="12"/>
        <v>0</v>
      </c>
      <c r="H79" s="48">
        <f t="shared" si="13"/>
        <v>50284.839907779606</v>
      </c>
    </row>
    <row r="80" spans="1:8" x14ac:dyDescent="0.2">
      <c r="A80" s="54">
        <f t="shared" si="0"/>
        <v>63</v>
      </c>
      <c r="B80" s="48">
        <f t="shared" si="8"/>
        <v>1096.8511161186218</v>
      </c>
      <c r="C80" s="78">
        <f t="shared" si="9"/>
        <v>419.04033256483018</v>
      </c>
      <c r="D80" s="48">
        <f t="shared" si="10"/>
        <v>677.81078355379168</v>
      </c>
      <c r="E80" s="48">
        <f>IF(A80&lt;=$B$5*$B$6,SUM($D$18:D80),"")</f>
        <v>33392.97087577419</v>
      </c>
      <c r="F80" s="48">
        <f t="shared" si="11"/>
        <v>49607.02912422581</v>
      </c>
      <c r="G80" s="48">
        <f t="shared" si="12"/>
        <v>0</v>
      </c>
      <c r="H80" s="48">
        <f t="shared" si="13"/>
        <v>49607.02912422581</v>
      </c>
    </row>
    <row r="81" spans="1:8" x14ac:dyDescent="0.2">
      <c r="A81" s="54">
        <f t="shared" si="0"/>
        <v>64</v>
      </c>
      <c r="B81" s="48">
        <f t="shared" si="8"/>
        <v>1096.8511161186218</v>
      </c>
      <c r="C81" s="78">
        <f t="shared" si="9"/>
        <v>413.39190936854851</v>
      </c>
      <c r="D81" s="48">
        <f t="shared" si="10"/>
        <v>683.45920675007324</v>
      </c>
      <c r="E81" s="48">
        <f>IF(A81&lt;=$B$5*$B$6,SUM($D$18:D81),"")</f>
        <v>34076.430082524261</v>
      </c>
      <c r="F81" s="48">
        <f t="shared" si="11"/>
        <v>48923.569917475739</v>
      </c>
      <c r="G81" s="48">
        <f t="shared" si="12"/>
        <v>0</v>
      </c>
      <c r="H81" s="48">
        <f t="shared" si="13"/>
        <v>48923.569917475739</v>
      </c>
    </row>
    <row r="82" spans="1:8" x14ac:dyDescent="0.2">
      <c r="A82" s="54">
        <f t="shared" ref="A82:A145" si="14">IF(A81&lt;$B$5*$B$6,A81+1,"")</f>
        <v>65</v>
      </c>
      <c r="B82" s="48">
        <f t="shared" si="8"/>
        <v>1096.8511161186218</v>
      </c>
      <c r="C82" s="78">
        <f t="shared" si="9"/>
        <v>407.69641597896452</v>
      </c>
      <c r="D82" s="48">
        <f t="shared" si="10"/>
        <v>689.15470013965728</v>
      </c>
      <c r="E82" s="48">
        <f>IF(A82&lt;=$B$5*$B$6,SUM($D$18:D82),"")</f>
        <v>34765.584782663915</v>
      </c>
      <c r="F82" s="48">
        <f t="shared" si="11"/>
        <v>48234.415217336085</v>
      </c>
      <c r="G82" s="48">
        <f t="shared" si="12"/>
        <v>0</v>
      </c>
      <c r="H82" s="48">
        <f t="shared" si="13"/>
        <v>48234.415217336085</v>
      </c>
    </row>
    <row r="83" spans="1:8" x14ac:dyDescent="0.2">
      <c r="A83" s="54">
        <f t="shared" si="14"/>
        <v>66</v>
      </c>
      <c r="B83" s="48">
        <f t="shared" si="8"/>
        <v>1096.8511161186218</v>
      </c>
      <c r="C83" s="78">
        <f t="shared" si="9"/>
        <v>401.95346014446744</v>
      </c>
      <c r="D83" s="48">
        <f t="shared" si="10"/>
        <v>694.89765597415442</v>
      </c>
      <c r="E83" s="48">
        <f>IF(A83&lt;=$B$5*$B$6,SUM($D$18:D83),"")</f>
        <v>35460.482438638071</v>
      </c>
      <c r="F83" s="48">
        <f t="shared" si="11"/>
        <v>47539.517561361929</v>
      </c>
      <c r="G83" s="48">
        <f t="shared" si="12"/>
        <v>0</v>
      </c>
      <c r="H83" s="48">
        <f t="shared" si="13"/>
        <v>47539.517561361929</v>
      </c>
    </row>
    <row r="84" spans="1:8" x14ac:dyDescent="0.2">
      <c r="A84" s="54">
        <f t="shared" si="14"/>
        <v>67</v>
      </c>
      <c r="B84" s="48">
        <f t="shared" si="8"/>
        <v>1096.8511161186218</v>
      </c>
      <c r="C84" s="78">
        <f t="shared" si="9"/>
        <v>396.16264634468274</v>
      </c>
      <c r="D84" s="48">
        <f t="shared" si="10"/>
        <v>700.688469773939</v>
      </c>
      <c r="E84" s="48">
        <f>IF(A84&lt;=$B$5*$B$6,SUM($D$18:D84),"")</f>
        <v>36161.170908412008</v>
      </c>
      <c r="F84" s="48">
        <f t="shared" si="11"/>
        <v>46838.829091587992</v>
      </c>
      <c r="G84" s="48">
        <f t="shared" si="12"/>
        <v>0</v>
      </c>
      <c r="H84" s="48">
        <f t="shared" si="13"/>
        <v>46838.829091587992</v>
      </c>
    </row>
    <row r="85" spans="1:8" x14ac:dyDescent="0.2">
      <c r="A85" s="54">
        <f t="shared" si="14"/>
        <v>68</v>
      </c>
      <c r="B85" s="48">
        <f t="shared" si="8"/>
        <v>1096.8511161186218</v>
      </c>
      <c r="C85" s="78">
        <f t="shared" si="9"/>
        <v>390.32357576323329</v>
      </c>
      <c r="D85" s="48">
        <f t="shared" si="10"/>
        <v>706.5275403553884</v>
      </c>
      <c r="E85" s="48">
        <f>IF(A85&lt;=$B$5*$B$6,SUM($D$18:D85),"")</f>
        <v>36867.698448767398</v>
      </c>
      <c r="F85" s="48">
        <f t="shared" si="11"/>
        <v>46132.301551232602</v>
      </c>
      <c r="G85" s="48">
        <f t="shared" si="12"/>
        <v>0</v>
      </c>
      <c r="H85" s="48">
        <f t="shared" si="13"/>
        <v>46132.301551232602</v>
      </c>
    </row>
    <row r="86" spans="1:8" x14ac:dyDescent="0.2">
      <c r="A86" s="54">
        <f t="shared" si="14"/>
        <v>69</v>
      </c>
      <c r="B86" s="48">
        <f t="shared" si="8"/>
        <v>1096.8511161186218</v>
      </c>
      <c r="C86" s="78">
        <f t="shared" si="9"/>
        <v>384.43584626027172</v>
      </c>
      <c r="D86" s="48">
        <f t="shared" si="10"/>
        <v>712.41526985834992</v>
      </c>
      <c r="E86" s="48">
        <f>IF(A86&lt;=$B$5*$B$6,SUM($D$18:D86),"")</f>
        <v>37580.113718625747</v>
      </c>
      <c r="F86" s="48">
        <f t="shared" si="11"/>
        <v>45419.886281374253</v>
      </c>
      <c r="G86" s="48">
        <f t="shared" si="12"/>
        <v>0</v>
      </c>
      <c r="H86" s="48">
        <f t="shared" si="13"/>
        <v>45419.886281374253</v>
      </c>
    </row>
    <row r="87" spans="1:8" x14ac:dyDescent="0.2">
      <c r="A87" s="54">
        <f t="shared" si="14"/>
        <v>70</v>
      </c>
      <c r="B87" s="48">
        <f t="shared" si="8"/>
        <v>1096.8511161186218</v>
      </c>
      <c r="C87" s="78">
        <f t="shared" si="9"/>
        <v>378.49905234478558</v>
      </c>
      <c r="D87" s="48">
        <f t="shared" si="10"/>
        <v>718.35206377383633</v>
      </c>
      <c r="E87" s="48">
        <f>IF(A87&lt;=$B$5*$B$6,SUM($D$18:D87),"")</f>
        <v>38298.46578239958</v>
      </c>
      <c r="F87" s="48">
        <f t="shared" si="11"/>
        <v>44701.53421760042</v>
      </c>
      <c r="G87" s="48">
        <f t="shared" si="12"/>
        <v>0</v>
      </c>
      <c r="H87" s="48">
        <f t="shared" si="13"/>
        <v>44701.53421760042</v>
      </c>
    </row>
    <row r="88" spans="1:8" x14ac:dyDescent="0.2">
      <c r="A88" s="54">
        <f t="shared" si="14"/>
        <v>71</v>
      </c>
      <c r="B88" s="48">
        <f t="shared" si="8"/>
        <v>1096.8511161186218</v>
      </c>
      <c r="C88" s="78">
        <f t="shared" si="9"/>
        <v>372.51278514667018</v>
      </c>
      <c r="D88" s="48">
        <f t="shared" si="10"/>
        <v>724.33833097195156</v>
      </c>
      <c r="E88" s="48">
        <f>IF(A88&lt;=$B$5*$B$6,SUM($D$18:D88),"")</f>
        <v>39022.804113371531</v>
      </c>
      <c r="F88" s="48">
        <f t="shared" si="11"/>
        <v>43977.195886628469</v>
      </c>
      <c r="G88" s="48">
        <f t="shared" si="12"/>
        <v>0</v>
      </c>
      <c r="H88" s="48">
        <f t="shared" si="13"/>
        <v>43977.195886628469</v>
      </c>
    </row>
    <row r="89" spans="1:8" x14ac:dyDescent="0.2">
      <c r="A89" s="54">
        <f t="shared" si="14"/>
        <v>72</v>
      </c>
      <c r="B89" s="48">
        <f t="shared" si="8"/>
        <v>1096.8511161186218</v>
      </c>
      <c r="C89" s="78">
        <f t="shared" si="9"/>
        <v>366.47663238857058</v>
      </c>
      <c r="D89" s="48">
        <f t="shared" si="10"/>
        <v>730.37448373005122</v>
      </c>
      <c r="E89" s="48">
        <f>IF(A89&lt;=$B$5*$B$6,SUM($D$18:D89),"")</f>
        <v>39753.178597101585</v>
      </c>
      <c r="F89" s="48">
        <f t="shared" si="11"/>
        <v>43246.821402898415</v>
      </c>
      <c r="G89" s="48">
        <f t="shared" si="12"/>
        <v>0</v>
      </c>
      <c r="H89" s="48">
        <f t="shared" si="13"/>
        <v>43246.821402898415</v>
      </c>
    </row>
    <row r="90" spans="1:8" x14ac:dyDescent="0.2">
      <c r="A90" s="54">
        <f t="shared" si="14"/>
        <v>73</v>
      </c>
      <c r="B90" s="48">
        <f t="shared" si="8"/>
        <v>1096.8511161186218</v>
      </c>
      <c r="C90" s="78">
        <f t="shared" si="9"/>
        <v>360.39017835748689</v>
      </c>
      <c r="D90" s="48">
        <f t="shared" si="10"/>
        <v>736.46093776113491</v>
      </c>
      <c r="E90" s="48">
        <f>IF(A90&lt;=$B$5*$B$6,SUM($D$18:D90),"")</f>
        <v>40489.639534862719</v>
      </c>
      <c r="F90" s="48">
        <f t="shared" si="11"/>
        <v>42510.360465137281</v>
      </c>
      <c r="G90" s="48">
        <f t="shared" si="12"/>
        <v>0</v>
      </c>
      <c r="H90" s="48">
        <f t="shared" si="13"/>
        <v>42510.360465137281</v>
      </c>
    </row>
    <row r="91" spans="1:8" x14ac:dyDescent="0.2">
      <c r="A91" s="54">
        <f t="shared" si="14"/>
        <v>74</v>
      </c>
      <c r="B91" s="48">
        <f t="shared" si="8"/>
        <v>1096.8511161186218</v>
      </c>
      <c r="C91" s="78">
        <f t="shared" si="9"/>
        <v>354.25300387614413</v>
      </c>
      <c r="D91" s="48">
        <f t="shared" si="10"/>
        <v>742.59811224247778</v>
      </c>
      <c r="E91" s="48">
        <f>IF(A91&lt;=$B$5*$B$6,SUM($D$18:D91),"")</f>
        <v>41232.237647105198</v>
      </c>
      <c r="F91" s="48">
        <f t="shared" si="11"/>
        <v>41767.762352894802</v>
      </c>
      <c r="G91" s="48">
        <f t="shared" si="12"/>
        <v>0</v>
      </c>
      <c r="H91" s="48">
        <f t="shared" si="13"/>
        <v>41767.762352894802</v>
      </c>
    </row>
    <row r="92" spans="1:8" x14ac:dyDescent="0.2">
      <c r="A92" s="54">
        <f t="shared" si="14"/>
        <v>75</v>
      </c>
      <c r="B92" s="48">
        <f t="shared" si="8"/>
        <v>1096.8511161186218</v>
      </c>
      <c r="C92" s="78">
        <f t="shared" si="9"/>
        <v>348.0646862741234</v>
      </c>
      <c r="D92" s="48">
        <f t="shared" si="10"/>
        <v>748.78642984449834</v>
      </c>
      <c r="E92" s="48">
        <f>IF(A92&lt;=$B$5*$B$6,SUM($D$18:D92),"")</f>
        <v>41981.024076949696</v>
      </c>
      <c r="F92" s="48">
        <f t="shared" si="11"/>
        <v>41018.975923050304</v>
      </c>
      <c r="G92" s="48">
        <f t="shared" si="12"/>
        <v>0</v>
      </c>
      <c r="H92" s="48">
        <f t="shared" si="13"/>
        <v>41018.975923050304</v>
      </c>
    </row>
    <row r="93" spans="1:8" x14ac:dyDescent="0.2">
      <c r="A93" s="54">
        <f t="shared" si="14"/>
        <v>76</v>
      </c>
      <c r="B93" s="48">
        <f t="shared" si="8"/>
        <v>1096.8511161186218</v>
      </c>
      <c r="C93" s="78">
        <f t="shared" si="9"/>
        <v>341.82479935875256</v>
      </c>
      <c r="D93" s="48">
        <f t="shared" si="10"/>
        <v>755.02631675986925</v>
      </c>
      <c r="E93" s="48">
        <f>IF(A93&lt;=$B$5*$B$6,SUM($D$18:D93),"")</f>
        <v>42736.050393709564</v>
      </c>
      <c r="F93" s="48">
        <f t="shared" si="11"/>
        <v>40263.949606290436</v>
      </c>
      <c r="G93" s="48">
        <f t="shared" si="12"/>
        <v>0</v>
      </c>
      <c r="H93" s="48">
        <f t="shared" si="13"/>
        <v>40263.949606290436</v>
      </c>
    </row>
    <row r="94" spans="1:8" x14ac:dyDescent="0.2">
      <c r="A94" s="54">
        <f t="shared" si="14"/>
        <v>77</v>
      </c>
      <c r="B94" s="48">
        <f t="shared" si="8"/>
        <v>1096.8511161186218</v>
      </c>
      <c r="C94" s="78">
        <f t="shared" si="9"/>
        <v>335.53291338575366</v>
      </c>
      <c r="D94" s="48">
        <f t="shared" si="10"/>
        <v>761.31820273286803</v>
      </c>
      <c r="E94" s="48">
        <f>IF(A94&lt;=$B$5*$B$6,SUM($D$18:D94),"")</f>
        <v>43497.368596442429</v>
      </c>
      <c r="F94" s="48">
        <f t="shared" si="11"/>
        <v>39502.631403557571</v>
      </c>
      <c r="G94" s="48">
        <f t="shared" si="12"/>
        <v>0</v>
      </c>
      <c r="H94" s="48">
        <f t="shared" si="13"/>
        <v>39502.631403557571</v>
      </c>
    </row>
    <row r="95" spans="1:8" x14ac:dyDescent="0.2">
      <c r="A95" s="54">
        <f t="shared" si="14"/>
        <v>78</v>
      </c>
      <c r="B95" s="48">
        <f t="shared" si="8"/>
        <v>1096.8511161186218</v>
      </c>
      <c r="C95" s="78">
        <f t="shared" si="9"/>
        <v>329.18859502964648</v>
      </c>
      <c r="D95" s="48">
        <f t="shared" si="10"/>
        <v>767.6625210889755</v>
      </c>
      <c r="E95" s="48">
        <f>IF(A95&lt;=$B$5*$B$6,SUM($D$18:D95),"")</f>
        <v>44265.031117531405</v>
      </c>
      <c r="F95" s="48">
        <f t="shared" si="11"/>
        <v>38734.968882468595</v>
      </c>
      <c r="G95" s="48">
        <f t="shared" si="12"/>
        <v>0</v>
      </c>
      <c r="H95" s="48">
        <f t="shared" si="13"/>
        <v>38734.968882468595</v>
      </c>
    </row>
    <row r="96" spans="1:8" x14ac:dyDescent="0.2">
      <c r="A96" s="54">
        <f t="shared" si="14"/>
        <v>79</v>
      </c>
      <c r="B96" s="48">
        <f t="shared" si="8"/>
        <v>1096.8511161186218</v>
      </c>
      <c r="C96" s="78">
        <f t="shared" si="9"/>
        <v>322.79140735390502</v>
      </c>
      <c r="D96" s="48">
        <f t="shared" si="10"/>
        <v>774.05970876471679</v>
      </c>
      <c r="E96" s="48">
        <f>IF(A96&lt;=$B$5*$B$6,SUM($D$18:D96),"")</f>
        <v>45039.090826296124</v>
      </c>
      <c r="F96" s="48">
        <f t="shared" si="11"/>
        <v>37960.909173703876</v>
      </c>
      <c r="G96" s="48">
        <f t="shared" si="12"/>
        <v>0</v>
      </c>
      <c r="H96" s="48">
        <f t="shared" si="13"/>
        <v>37960.909173703876</v>
      </c>
    </row>
    <row r="97" spans="1:8" x14ac:dyDescent="0.2">
      <c r="A97" s="54">
        <f t="shared" si="14"/>
        <v>80</v>
      </c>
      <c r="B97" s="48">
        <f t="shared" si="8"/>
        <v>1096.8511161186218</v>
      </c>
      <c r="C97" s="78">
        <f t="shared" si="9"/>
        <v>316.34090978086567</v>
      </c>
      <c r="D97" s="48">
        <f t="shared" si="10"/>
        <v>780.51020633775613</v>
      </c>
      <c r="E97" s="48">
        <f>IF(A97&lt;=$B$5*$B$6,SUM($D$18:D97),"")</f>
        <v>45819.60103263388</v>
      </c>
      <c r="F97" s="48">
        <f t="shared" si="11"/>
        <v>37180.39896736612</v>
      </c>
      <c r="G97" s="48">
        <f t="shared" si="12"/>
        <v>0</v>
      </c>
      <c r="H97" s="48">
        <f t="shared" si="13"/>
        <v>37180.39896736612</v>
      </c>
    </row>
    <row r="98" spans="1:8" x14ac:dyDescent="0.2">
      <c r="A98" s="54">
        <f t="shared" si="14"/>
        <v>81</v>
      </c>
      <c r="B98" s="48">
        <f t="shared" si="8"/>
        <v>1096.8511161186218</v>
      </c>
      <c r="C98" s="78">
        <f t="shared" si="9"/>
        <v>309.83665806138447</v>
      </c>
      <c r="D98" s="48">
        <f t="shared" si="10"/>
        <v>787.01445805723745</v>
      </c>
      <c r="E98" s="48">
        <f>IF(A98&lt;=$B$5*$B$6,SUM($D$18:D98),"")</f>
        <v>46606.615490691118</v>
      </c>
      <c r="F98" s="48">
        <f t="shared" si="11"/>
        <v>36393.384509308882</v>
      </c>
      <c r="G98" s="48">
        <f t="shared" si="12"/>
        <v>0</v>
      </c>
      <c r="H98" s="48">
        <f t="shared" si="13"/>
        <v>36393.384509308882</v>
      </c>
    </row>
    <row r="99" spans="1:8" x14ac:dyDescent="0.2">
      <c r="A99" s="54">
        <f t="shared" si="14"/>
        <v>82</v>
      </c>
      <c r="B99" s="48">
        <f t="shared" si="8"/>
        <v>1096.8511161186218</v>
      </c>
      <c r="C99" s="78">
        <f t="shared" si="9"/>
        <v>303.27820424424073</v>
      </c>
      <c r="D99" s="48">
        <f t="shared" si="10"/>
        <v>793.57291187438113</v>
      </c>
      <c r="E99" s="48">
        <f>IF(A99&lt;=$B$5*$B$6,SUM($D$18:D99),"")</f>
        <v>47400.188402565502</v>
      </c>
      <c r="F99" s="48">
        <f t="shared" si="11"/>
        <v>35599.811597434498</v>
      </c>
      <c r="G99" s="48">
        <f t="shared" si="12"/>
        <v>0</v>
      </c>
      <c r="H99" s="48">
        <f t="shared" si="13"/>
        <v>35599.811597434498</v>
      </c>
    </row>
    <row r="100" spans="1:8" x14ac:dyDescent="0.2">
      <c r="A100" s="54">
        <f t="shared" si="14"/>
        <v>83</v>
      </c>
      <c r="B100" s="48">
        <f t="shared" si="8"/>
        <v>1096.8511161186218</v>
      </c>
      <c r="C100" s="78">
        <f t="shared" si="9"/>
        <v>296.66509664528752</v>
      </c>
      <c r="D100" s="48">
        <f t="shared" si="10"/>
        <v>800.18601947333434</v>
      </c>
      <c r="E100" s="48">
        <f>IF(A100&lt;=$B$5*$B$6,SUM($D$18:D100),"")</f>
        <v>48200.374422038833</v>
      </c>
      <c r="F100" s="48">
        <f t="shared" si="11"/>
        <v>34799.625577961167</v>
      </c>
      <c r="G100" s="48">
        <f t="shared" si="12"/>
        <v>0</v>
      </c>
      <c r="H100" s="48">
        <f t="shared" si="13"/>
        <v>34799.625577961167</v>
      </c>
    </row>
    <row r="101" spans="1:8" x14ac:dyDescent="0.2">
      <c r="A101" s="54">
        <f t="shared" si="14"/>
        <v>84</v>
      </c>
      <c r="B101" s="48">
        <f t="shared" si="8"/>
        <v>1096.8511161186218</v>
      </c>
      <c r="C101" s="78">
        <f t="shared" si="9"/>
        <v>289.9968798163431</v>
      </c>
      <c r="D101" s="48">
        <f t="shared" si="10"/>
        <v>806.85423630227865</v>
      </c>
      <c r="E101" s="48">
        <f>IF(A101&lt;=$B$5*$B$6,SUM($D$18:D101),"")</f>
        <v>49007.228658341111</v>
      </c>
      <c r="F101" s="48">
        <f t="shared" si="11"/>
        <v>33992.771341658889</v>
      </c>
      <c r="G101" s="48">
        <f t="shared" si="12"/>
        <v>0</v>
      </c>
      <c r="H101" s="48">
        <f t="shared" si="13"/>
        <v>33992.771341658889</v>
      </c>
    </row>
    <row r="102" spans="1:8" x14ac:dyDescent="0.2">
      <c r="A102" s="54">
        <f t="shared" si="14"/>
        <v>85</v>
      </c>
      <c r="B102" s="48">
        <f t="shared" si="8"/>
        <v>1096.8511161186218</v>
      </c>
      <c r="C102" s="78">
        <f t="shared" si="9"/>
        <v>283.27309451382411</v>
      </c>
      <c r="D102" s="48">
        <f t="shared" si="10"/>
        <v>813.57802160479764</v>
      </c>
      <c r="E102" s="48">
        <f>IF(A102&lt;=$B$5*$B$6,SUM($D$18:D102),"")</f>
        <v>49820.806679945912</v>
      </c>
      <c r="F102" s="48">
        <f t="shared" si="11"/>
        <v>33179.193320054088</v>
      </c>
      <c r="G102" s="48">
        <f t="shared" si="12"/>
        <v>0</v>
      </c>
      <c r="H102" s="48">
        <f t="shared" si="13"/>
        <v>33179.193320054088</v>
      </c>
    </row>
    <row r="103" spans="1:8" x14ac:dyDescent="0.2">
      <c r="A103" s="54">
        <f t="shared" si="14"/>
        <v>86</v>
      </c>
      <c r="B103" s="48">
        <f t="shared" si="8"/>
        <v>1096.8511161186218</v>
      </c>
      <c r="C103" s="78">
        <f t="shared" si="9"/>
        <v>276.49327766711747</v>
      </c>
      <c r="D103" s="48">
        <f t="shared" si="10"/>
        <v>820.35783845150422</v>
      </c>
      <c r="E103" s="48">
        <f>IF(A103&lt;=$B$5*$B$6,SUM($D$18:D103),"")</f>
        <v>50641.164518397418</v>
      </c>
      <c r="F103" s="48">
        <f t="shared" si="11"/>
        <v>32358.835481602582</v>
      </c>
      <c r="G103" s="48">
        <f t="shared" si="12"/>
        <v>0</v>
      </c>
      <c r="H103" s="48">
        <f t="shared" si="13"/>
        <v>32358.835481602582</v>
      </c>
    </row>
    <row r="104" spans="1:8" x14ac:dyDescent="0.2">
      <c r="A104" s="54">
        <f t="shared" si="14"/>
        <v>87</v>
      </c>
      <c r="B104" s="48">
        <f t="shared" si="8"/>
        <v>1096.8511161186218</v>
      </c>
      <c r="C104" s="78">
        <f t="shared" si="9"/>
        <v>269.65696234668826</v>
      </c>
      <c r="D104" s="48">
        <f t="shared" si="10"/>
        <v>827.19415377193354</v>
      </c>
      <c r="E104" s="48">
        <f>IF(A104&lt;=$B$5*$B$6,SUM($D$18:D104),"")</f>
        <v>51468.35867216935</v>
      </c>
      <c r="F104" s="48">
        <f t="shared" si="11"/>
        <v>31531.64132783065</v>
      </c>
      <c r="G104" s="48">
        <f t="shared" si="12"/>
        <v>0</v>
      </c>
      <c r="H104" s="48">
        <f t="shared" si="13"/>
        <v>31531.64132783065</v>
      </c>
    </row>
    <row r="105" spans="1:8" x14ac:dyDescent="0.2">
      <c r="A105" s="54">
        <f t="shared" si="14"/>
        <v>88</v>
      </c>
      <c r="B105" s="48">
        <f t="shared" si="8"/>
        <v>1096.8511161186218</v>
      </c>
      <c r="C105" s="78">
        <f t="shared" si="9"/>
        <v>262.76367773192209</v>
      </c>
      <c r="D105" s="48">
        <f t="shared" si="10"/>
        <v>834.08743838669966</v>
      </c>
      <c r="E105" s="48">
        <f>IF(A105&lt;=$B$5*$B$6,SUM($D$18:D105),"")</f>
        <v>52302.446110556048</v>
      </c>
      <c r="F105" s="48">
        <f t="shared" si="11"/>
        <v>30697.553889443952</v>
      </c>
      <c r="G105" s="48">
        <f t="shared" si="12"/>
        <v>0</v>
      </c>
      <c r="H105" s="48">
        <f t="shared" si="13"/>
        <v>30697.553889443952</v>
      </c>
    </row>
    <row r="106" spans="1:8" x14ac:dyDescent="0.2">
      <c r="A106" s="54">
        <f t="shared" si="14"/>
        <v>89</v>
      </c>
      <c r="B106" s="48">
        <f t="shared" ref="B106:B153" si="15">IF(A106&lt;=$B$5*$B$6,-PMT($B$4/$B$6,$B$5*$B$6,$B$3,,$B$12),"")</f>
        <v>1096.8511161186218</v>
      </c>
      <c r="C106" s="78">
        <f t="shared" ref="C106:C169" si="16">IF(A106&lt;=$B$5*$B$6,-IPMT($B$4/$B$6,A106,$B$5*$B$6,$B$3,,$B$12),"")</f>
        <v>255.81294907869966</v>
      </c>
      <c r="D106" s="48">
        <f t="shared" ref="D106:D169" si="17">IF(A106&lt;=$B$5*$B$6,-PPMT($B$4/$B$6,A106,$B$5*$B$6,$B$3,,$B$12),"")</f>
        <v>841.0381670399222</v>
      </c>
      <c r="E106" s="48">
        <f>IF(A106&lt;=$B$5*$B$6,SUM($D$18:D106),"")</f>
        <v>53143.48427759597</v>
      </c>
      <c r="F106" s="48">
        <f t="shared" ref="F106:F169" si="18">IF(A106&lt;=$B$5*$B$6,$B$3-E106,"")</f>
        <v>29856.51572240403</v>
      </c>
      <c r="G106" s="48">
        <f t="shared" ref="G106:G169" si="19">IF(F106="","",$B$11*F106)</f>
        <v>0</v>
      </c>
      <c r="H106" s="48">
        <f t="shared" ref="H106:H169" si="20">IF(G106="","",F106+G106)</f>
        <v>29856.51572240403</v>
      </c>
    </row>
    <row r="107" spans="1:8" x14ac:dyDescent="0.2">
      <c r="A107" s="54">
        <f t="shared" si="14"/>
        <v>90</v>
      </c>
      <c r="B107" s="48">
        <f t="shared" si="15"/>
        <v>1096.8511161186218</v>
      </c>
      <c r="C107" s="78">
        <f t="shared" si="16"/>
        <v>248.80429768670035</v>
      </c>
      <c r="D107" s="48">
        <f t="shared" si="17"/>
        <v>848.04681843192157</v>
      </c>
      <c r="E107" s="48">
        <f>IF(A107&lt;=$B$5*$B$6,SUM($D$18:D107),"")</f>
        <v>53991.531096027888</v>
      </c>
      <c r="F107" s="48">
        <f t="shared" si="18"/>
        <v>29008.468903972112</v>
      </c>
      <c r="G107" s="48">
        <f t="shared" si="19"/>
        <v>0</v>
      </c>
      <c r="H107" s="48">
        <f t="shared" si="20"/>
        <v>29008.468903972112</v>
      </c>
    </row>
    <row r="108" spans="1:8" x14ac:dyDescent="0.2">
      <c r="A108" s="54">
        <f t="shared" si="14"/>
        <v>91</v>
      </c>
      <c r="B108" s="48">
        <f t="shared" si="15"/>
        <v>1096.8511161186218</v>
      </c>
      <c r="C108" s="78">
        <f t="shared" si="16"/>
        <v>241.73724086643426</v>
      </c>
      <c r="D108" s="48">
        <f t="shared" si="17"/>
        <v>855.11387525218754</v>
      </c>
      <c r="E108" s="48">
        <f>IF(A108&lt;=$B$5*$B$6,SUM($D$18:D108),"")</f>
        <v>54846.644971280075</v>
      </c>
      <c r="F108" s="48">
        <f t="shared" si="18"/>
        <v>28153.355028719925</v>
      </c>
      <c r="G108" s="48">
        <f t="shared" si="19"/>
        <v>0</v>
      </c>
      <c r="H108" s="48">
        <f t="shared" si="20"/>
        <v>28153.355028719925</v>
      </c>
    </row>
    <row r="109" spans="1:8" x14ac:dyDescent="0.2">
      <c r="A109" s="54">
        <f t="shared" si="14"/>
        <v>92</v>
      </c>
      <c r="B109" s="48">
        <f t="shared" si="15"/>
        <v>1096.8511161186218</v>
      </c>
      <c r="C109" s="78">
        <f t="shared" si="16"/>
        <v>234.61129190599939</v>
      </c>
      <c r="D109" s="48">
        <f t="shared" si="17"/>
        <v>862.23982421262235</v>
      </c>
      <c r="E109" s="48">
        <f>IF(A109&lt;=$B$5*$B$6,SUM($D$18:D109),"")</f>
        <v>55708.884795492697</v>
      </c>
      <c r="F109" s="48">
        <f t="shared" si="18"/>
        <v>27291.115204507303</v>
      </c>
      <c r="G109" s="48">
        <f t="shared" si="19"/>
        <v>0</v>
      </c>
      <c r="H109" s="48">
        <f t="shared" si="20"/>
        <v>27291.115204507303</v>
      </c>
    </row>
    <row r="110" spans="1:8" x14ac:dyDescent="0.2">
      <c r="A110" s="54">
        <f t="shared" si="14"/>
        <v>93</v>
      </c>
      <c r="B110" s="48">
        <f t="shared" si="15"/>
        <v>1096.8511161186218</v>
      </c>
      <c r="C110" s="78">
        <f t="shared" si="16"/>
        <v>227.42596003756086</v>
      </c>
      <c r="D110" s="48">
        <f t="shared" si="17"/>
        <v>869.42515608106089</v>
      </c>
      <c r="E110" s="48">
        <f>IF(A110&lt;=$B$5*$B$6,SUM($D$18:D110),"")</f>
        <v>56578.309951573756</v>
      </c>
      <c r="F110" s="48">
        <f t="shared" si="18"/>
        <v>26421.690048426244</v>
      </c>
      <c r="G110" s="48">
        <f t="shared" si="19"/>
        <v>0</v>
      </c>
      <c r="H110" s="48">
        <f t="shared" si="20"/>
        <v>26421.690048426244</v>
      </c>
    </row>
    <row r="111" spans="1:8" x14ac:dyDescent="0.2">
      <c r="A111" s="54">
        <f t="shared" si="14"/>
        <v>94</v>
      </c>
      <c r="B111" s="48">
        <f t="shared" si="15"/>
        <v>1096.8511161186218</v>
      </c>
      <c r="C111" s="78">
        <f t="shared" si="16"/>
        <v>220.18075040355203</v>
      </c>
      <c r="D111" s="48">
        <f t="shared" si="17"/>
        <v>876.67036571506981</v>
      </c>
      <c r="E111" s="48">
        <f>IF(A111&lt;=$B$5*$B$6,SUM($D$18:D111),"")</f>
        <v>57454.980317288828</v>
      </c>
      <c r="F111" s="48">
        <f t="shared" si="18"/>
        <v>25545.019682711172</v>
      </c>
      <c r="G111" s="48">
        <f t="shared" si="19"/>
        <v>0</v>
      </c>
      <c r="H111" s="48">
        <f t="shared" si="20"/>
        <v>25545.019682711172</v>
      </c>
    </row>
    <row r="112" spans="1:8" x14ac:dyDescent="0.2">
      <c r="A112" s="54">
        <f t="shared" si="14"/>
        <v>95</v>
      </c>
      <c r="B112" s="48">
        <f t="shared" si="15"/>
        <v>1096.8511161186218</v>
      </c>
      <c r="C112" s="78">
        <f t="shared" si="16"/>
        <v>212.87516402259314</v>
      </c>
      <c r="D112" s="48">
        <f t="shared" si="17"/>
        <v>883.97595209602866</v>
      </c>
      <c r="E112" s="48">
        <f>IF(A112&lt;=$B$5*$B$6,SUM($D$18:D112),"")</f>
        <v>58338.956269384857</v>
      </c>
      <c r="F112" s="48">
        <f t="shared" si="18"/>
        <v>24661.043730615143</v>
      </c>
      <c r="G112" s="48">
        <f t="shared" si="19"/>
        <v>0</v>
      </c>
      <c r="H112" s="48">
        <f t="shared" si="20"/>
        <v>24661.043730615143</v>
      </c>
    </row>
    <row r="113" spans="1:8" x14ac:dyDescent="0.2">
      <c r="A113" s="54">
        <f t="shared" si="14"/>
        <v>96</v>
      </c>
      <c r="B113" s="48">
        <f t="shared" si="15"/>
        <v>1096.8511161186218</v>
      </c>
      <c r="C113" s="78">
        <f t="shared" si="16"/>
        <v>205.50869775512624</v>
      </c>
      <c r="D113" s="48">
        <f t="shared" si="17"/>
        <v>891.34241836349565</v>
      </c>
      <c r="E113" s="48">
        <f>IF(A113&lt;=$B$5*$B$6,SUM($D$18:D113),"")</f>
        <v>59230.298687748349</v>
      </c>
      <c r="F113" s="48">
        <f t="shared" si="18"/>
        <v>23769.701312251651</v>
      </c>
      <c r="G113" s="48">
        <f t="shared" si="19"/>
        <v>0</v>
      </c>
      <c r="H113" s="48">
        <f t="shared" si="20"/>
        <v>23769.701312251651</v>
      </c>
    </row>
    <row r="114" spans="1:8" x14ac:dyDescent="0.2">
      <c r="A114" s="54">
        <f t="shared" si="14"/>
        <v>97</v>
      </c>
      <c r="B114" s="48">
        <f t="shared" si="15"/>
        <v>1096.8511161186218</v>
      </c>
      <c r="C114" s="78">
        <f t="shared" si="16"/>
        <v>198.08084426876377</v>
      </c>
      <c r="D114" s="48">
        <f t="shared" si="17"/>
        <v>898.77027184985809</v>
      </c>
      <c r="E114" s="48">
        <f>IF(A114&lt;=$B$5*$B$6,SUM($D$18:D114),"")</f>
        <v>60129.068959598204</v>
      </c>
      <c r="F114" s="48">
        <f t="shared" si="18"/>
        <v>22870.931040401796</v>
      </c>
      <c r="G114" s="48">
        <f t="shared" si="19"/>
        <v>0</v>
      </c>
      <c r="H114" s="48">
        <f t="shared" si="20"/>
        <v>22870.931040401796</v>
      </c>
    </row>
    <row r="115" spans="1:8" x14ac:dyDescent="0.2">
      <c r="A115" s="54">
        <f t="shared" si="14"/>
        <v>98</v>
      </c>
      <c r="B115" s="48">
        <f t="shared" si="15"/>
        <v>1096.8511161186218</v>
      </c>
      <c r="C115" s="78">
        <f t="shared" si="16"/>
        <v>190.59109200334828</v>
      </c>
      <c r="D115" s="48">
        <f t="shared" si="17"/>
        <v>906.2600241152735</v>
      </c>
      <c r="E115" s="48">
        <f>IF(A115&lt;=$B$5*$B$6,SUM($D$18:D115),"")</f>
        <v>61035.32898371348</v>
      </c>
      <c r="F115" s="48">
        <f t="shared" si="18"/>
        <v>21964.67101628652</v>
      </c>
      <c r="G115" s="48">
        <f t="shared" si="19"/>
        <v>0</v>
      </c>
      <c r="H115" s="48">
        <f t="shared" si="20"/>
        <v>21964.67101628652</v>
      </c>
    </row>
    <row r="116" spans="1:8" x14ac:dyDescent="0.2">
      <c r="A116" s="54">
        <f t="shared" si="14"/>
        <v>99</v>
      </c>
      <c r="B116" s="48">
        <f t="shared" si="15"/>
        <v>1096.8511161186218</v>
      </c>
      <c r="C116" s="78">
        <f t="shared" si="16"/>
        <v>183.03892513572097</v>
      </c>
      <c r="D116" s="48">
        <f t="shared" si="17"/>
        <v>913.8121909829008</v>
      </c>
      <c r="E116" s="48">
        <f>IF(A116&lt;=$B$5*$B$6,SUM($D$18:D116),"")</f>
        <v>61949.141174696379</v>
      </c>
      <c r="F116" s="48">
        <f t="shared" si="18"/>
        <v>21050.858825303621</v>
      </c>
      <c r="G116" s="48">
        <f t="shared" si="19"/>
        <v>0</v>
      </c>
      <c r="H116" s="48">
        <f t="shared" si="20"/>
        <v>21050.858825303621</v>
      </c>
    </row>
    <row r="117" spans="1:8" x14ac:dyDescent="0.2">
      <c r="A117" s="54">
        <f t="shared" si="14"/>
        <v>100</v>
      </c>
      <c r="B117" s="48">
        <f t="shared" si="15"/>
        <v>1096.8511161186218</v>
      </c>
      <c r="C117" s="78">
        <f t="shared" si="16"/>
        <v>175.42382354419681</v>
      </c>
      <c r="D117" s="48">
        <f t="shared" si="17"/>
        <v>921.427292574425</v>
      </c>
      <c r="E117" s="48">
        <f>IF(A117&lt;=$B$5*$B$6,SUM($D$18:D117),"")</f>
        <v>62870.568467270801</v>
      </c>
      <c r="F117" s="48">
        <f t="shared" si="18"/>
        <v>20129.431532729199</v>
      </c>
      <c r="G117" s="48">
        <f t="shared" si="19"/>
        <v>0</v>
      </c>
      <c r="H117" s="48">
        <f t="shared" si="20"/>
        <v>20129.431532729199</v>
      </c>
    </row>
    <row r="118" spans="1:8" x14ac:dyDescent="0.2">
      <c r="A118" s="54">
        <f t="shared" si="14"/>
        <v>101</v>
      </c>
      <c r="B118" s="48">
        <f t="shared" si="15"/>
        <v>1096.8511161186218</v>
      </c>
      <c r="C118" s="78">
        <f t="shared" si="16"/>
        <v>167.7452627727433</v>
      </c>
      <c r="D118" s="48">
        <f t="shared" si="17"/>
        <v>929.10585334587859</v>
      </c>
      <c r="E118" s="48">
        <f>IF(A118&lt;=$B$5*$B$6,SUM($D$18:D118),"")</f>
        <v>63799.674320616679</v>
      </c>
      <c r="F118" s="48">
        <f t="shared" si="18"/>
        <v>19200.325679383321</v>
      </c>
      <c r="G118" s="48">
        <f t="shared" si="19"/>
        <v>0</v>
      </c>
      <c r="H118" s="48">
        <f t="shared" si="20"/>
        <v>19200.325679383321</v>
      </c>
    </row>
    <row r="119" spans="1:8" x14ac:dyDescent="0.2">
      <c r="A119" s="54">
        <f t="shared" si="14"/>
        <v>102</v>
      </c>
      <c r="B119" s="48">
        <f t="shared" si="15"/>
        <v>1096.8511161186218</v>
      </c>
      <c r="C119" s="78">
        <f t="shared" si="16"/>
        <v>160.00271399486095</v>
      </c>
      <c r="D119" s="48">
        <f t="shared" si="17"/>
        <v>936.84840212376082</v>
      </c>
      <c r="E119" s="48">
        <f>IF(A119&lt;=$B$5*$B$6,SUM($D$18:D119),"")</f>
        <v>64736.522722740439</v>
      </c>
      <c r="F119" s="48">
        <f t="shared" si="18"/>
        <v>18263.477277259561</v>
      </c>
      <c r="G119" s="48">
        <f t="shared" si="19"/>
        <v>0</v>
      </c>
      <c r="H119" s="48">
        <f t="shared" si="20"/>
        <v>18263.477277259561</v>
      </c>
    </row>
    <row r="120" spans="1:8" x14ac:dyDescent="0.2">
      <c r="A120" s="54">
        <f t="shared" si="14"/>
        <v>103</v>
      </c>
      <c r="B120" s="48">
        <f t="shared" si="15"/>
        <v>1096.8511161186218</v>
      </c>
      <c r="C120" s="78">
        <f t="shared" si="16"/>
        <v>152.19564397716294</v>
      </c>
      <c r="D120" s="48">
        <f t="shared" si="17"/>
        <v>944.65547214145874</v>
      </c>
      <c r="E120" s="48">
        <f>IF(A120&lt;=$B$5*$B$6,SUM($D$18:D120),"")</f>
        <v>65681.178194881897</v>
      </c>
      <c r="F120" s="48">
        <f t="shared" si="18"/>
        <v>17318.821805118103</v>
      </c>
      <c r="G120" s="48">
        <f t="shared" si="19"/>
        <v>0</v>
      </c>
      <c r="H120" s="48">
        <f t="shared" si="20"/>
        <v>17318.821805118103</v>
      </c>
    </row>
    <row r="121" spans="1:8" x14ac:dyDescent="0.2">
      <c r="A121" s="54">
        <f t="shared" si="14"/>
        <v>104</v>
      </c>
      <c r="B121" s="48">
        <f t="shared" si="15"/>
        <v>1096.8511161186218</v>
      </c>
      <c r="C121" s="78">
        <f t="shared" si="16"/>
        <v>144.3235150426508</v>
      </c>
      <c r="D121" s="48">
        <f t="shared" si="17"/>
        <v>952.52760107597112</v>
      </c>
      <c r="E121" s="48">
        <f>IF(A121&lt;=$B$5*$B$6,SUM($D$18:D121),"")</f>
        <v>66633.705795957867</v>
      </c>
      <c r="F121" s="48">
        <f t="shared" si="18"/>
        <v>16366.294204042133</v>
      </c>
      <c r="G121" s="48">
        <f t="shared" si="19"/>
        <v>0</v>
      </c>
      <c r="H121" s="48">
        <f t="shared" si="20"/>
        <v>16366.294204042133</v>
      </c>
    </row>
    <row r="122" spans="1:8" x14ac:dyDescent="0.2">
      <c r="A122" s="54">
        <f t="shared" si="14"/>
        <v>105</v>
      </c>
      <c r="B122" s="48">
        <f t="shared" si="15"/>
        <v>1096.8511161186218</v>
      </c>
      <c r="C122" s="78">
        <f t="shared" si="16"/>
        <v>136.38578503368436</v>
      </c>
      <c r="D122" s="48">
        <f t="shared" si="17"/>
        <v>960.46533108493747</v>
      </c>
      <c r="E122" s="48">
        <f>IF(A122&lt;=$B$5*$B$6,SUM($D$18:D122),"")</f>
        <v>67594.171127042806</v>
      </c>
      <c r="F122" s="48">
        <f t="shared" si="18"/>
        <v>15405.828872957194</v>
      </c>
      <c r="G122" s="48">
        <f t="shared" si="19"/>
        <v>0</v>
      </c>
      <c r="H122" s="48">
        <f t="shared" si="20"/>
        <v>15405.828872957194</v>
      </c>
    </row>
    <row r="123" spans="1:8" x14ac:dyDescent="0.2">
      <c r="A123" s="54">
        <f t="shared" si="14"/>
        <v>106</v>
      </c>
      <c r="B123" s="48">
        <f t="shared" si="15"/>
        <v>1096.8511161186218</v>
      </c>
      <c r="C123" s="78">
        <f t="shared" si="16"/>
        <v>128.38190727464323</v>
      </c>
      <c r="D123" s="48">
        <f t="shared" si="17"/>
        <v>968.46920884397855</v>
      </c>
      <c r="E123" s="48">
        <f>IF(A123&lt;=$B$5*$B$6,SUM($D$18:D123),"")</f>
        <v>68562.640335886783</v>
      </c>
      <c r="F123" s="48">
        <f t="shared" si="18"/>
        <v>14437.359664113217</v>
      </c>
      <c r="G123" s="48">
        <f t="shared" si="19"/>
        <v>0</v>
      </c>
      <c r="H123" s="48">
        <f t="shared" si="20"/>
        <v>14437.359664113217</v>
      </c>
    </row>
    <row r="124" spans="1:8" x14ac:dyDescent="0.2">
      <c r="A124" s="54">
        <f t="shared" si="14"/>
        <v>107</v>
      </c>
      <c r="B124" s="48">
        <f t="shared" si="15"/>
        <v>1096.8511161186218</v>
      </c>
      <c r="C124" s="78">
        <f t="shared" si="16"/>
        <v>120.31133053427672</v>
      </c>
      <c r="D124" s="48">
        <f t="shared" si="17"/>
        <v>976.53978558434494</v>
      </c>
      <c r="E124" s="48">
        <f>IF(A124&lt;=$B$5*$B$6,SUM($D$18:D124),"")</f>
        <v>69539.18012147113</v>
      </c>
      <c r="F124" s="48">
        <f t="shared" si="18"/>
        <v>13460.81987852887</v>
      </c>
      <c r="G124" s="48">
        <f t="shared" si="19"/>
        <v>0</v>
      </c>
      <c r="H124" s="48">
        <f t="shared" si="20"/>
        <v>13460.81987852887</v>
      </c>
    </row>
    <row r="125" spans="1:8" x14ac:dyDescent="0.2">
      <c r="A125" s="54">
        <f t="shared" si="14"/>
        <v>108</v>
      </c>
      <c r="B125" s="48">
        <f t="shared" si="15"/>
        <v>1096.8511161186218</v>
      </c>
      <c r="C125" s="78">
        <f t="shared" si="16"/>
        <v>112.17349898774052</v>
      </c>
      <c r="D125" s="48">
        <f t="shared" si="17"/>
        <v>984.67761713088123</v>
      </c>
      <c r="E125" s="48">
        <f>IF(A125&lt;=$B$5*$B$6,SUM($D$18:D125),"")</f>
        <v>70523.857738602019</v>
      </c>
      <c r="F125" s="48">
        <f t="shared" si="18"/>
        <v>12476.142261397981</v>
      </c>
      <c r="G125" s="48">
        <f t="shared" si="19"/>
        <v>0</v>
      </c>
      <c r="H125" s="48">
        <f t="shared" si="20"/>
        <v>12476.142261397981</v>
      </c>
    </row>
    <row r="126" spans="1:8" x14ac:dyDescent="0.2">
      <c r="A126" s="54">
        <f t="shared" si="14"/>
        <v>109</v>
      </c>
      <c r="B126" s="48">
        <f t="shared" si="15"/>
        <v>1096.8511161186218</v>
      </c>
      <c r="C126" s="78">
        <f t="shared" si="16"/>
        <v>103.96785217831651</v>
      </c>
      <c r="D126" s="48">
        <f t="shared" si="17"/>
        <v>992.88326394030526</v>
      </c>
      <c r="E126" s="48">
        <f>IF(A126&lt;=$B$5*$B$6,SUM($D$18:D126),"")</f>
        <v>71516.741002542331</v>
      </c>
      <c r="F126" s="48">
        <f t="shared" si="18"/>
        <v>11483.258997457669</v>
      </c>
      <c r="G126" s="48">
        <f t="shared" si="19"/>
        <v>0</v>
      </c>
      <c r="H126" s="48">
        <f t="shared" si="20"/>
        <v>11483.258997457669</v>
      </c>
    </row>
    <row r="127" spans="1:8" x14ac:dyDescent="0.2">
      <c r="A127" s="54">
        <f t="shared" si="14"/>
        <v>110</v>
      </c>
      <c r="B127" s="48">
        <f t="shared" si="15"/>
        <v>1096.8511161186218</v>
      </c>
      <c r="C127" s="78">
        <f t="shared" si="16"/>
        <v>95.69382497881395</v>
      </c>
      <c r="D127" s="48">
        <f t="shared" si="17"/>
        <v>1001.1572911398079</v>
      </c>
      <c r="E127" s="48">
        <f>IF(A127&lt;=$B$5*$B$6,SUM($D$18:D127),"")</f>
        <v>72517.898293682141</v>
      </c>
      <c r="F127" s="48">
        <f t="shared" si="18"/>
        <v>10482.101706317859</v>
      </c>
      <c r="G127" s="48">
        <f t="shared" si="19"/>
        <v>0</v>
      </c>
      <c r="H127" s="48">
        <f t="shared" si="20"/>
        <v>10482.101706317859</v>
      </c>
    </row>
    <row r="128" spans="1:8" x14ac:dyDescent="0.2">
      <c r="A128" s="54">
        <f t="shared" si="14"/>
        <v>111</v>
      </c>
      <c r="B128" s="48">
        <f t="shared" si="15"/>
        <v>1096.8511161186218</v>
      </c>
      <c r="C128" s="78">
        <f t="shared" si="16"/>
        <v>87.350847552648915</v>
      </c>
      <c r="D128" s="48">
        <f t="shared" si="17"/>
        <v>1009.5002685659729</v>
      </c>
      <c r="E128" s="48">
        <f>IF(A128&lt;=$B$5*$B$6,SUM($D$18:D128),"")</f>
        <v>73527.398562248112</v>
      </c>
      <c r="F128" s="48">
        <f t="shared" si="18"/>
        <v>9472.6014377518877</v>
      </c>
      <c r="G128" s="48">
        <f t="shared" si="19"/>
        <v>0</v>
      </c>
      <c r="H128" s="48">
        <f t="shared" si="20"/>
        <v>9472.6014377518877</v>
      </c>
    </row>
    <row r="129" spans="1:8" x14ac:dyDescent="0.2">
      <c r="A129" s="54">
        <f t="shared" si="14"/>
        <v>112</v>
      </c>
      <c r="B129" s="48">
        <f t="shared" si="15"/>
        <v>1096.8511161186218</v>
      </c>
      <c r="C129" s="78">
        <f t="shared" si="16"/>
        <v>78.938345314599133</v>
      </c>
      <c r="D129" s="48">
        <f t="shared" si="17"/>
        <v>1017.9127708040228</v>
      </c>
      <c r="E129" s="48">
        <f>IF(A129&lt;=$B$5*$B$6,SUM($D$18:D129),"")</f>
        <v>74545.31133305213</v>
      </c>
      <c r="F129" s="48">
        <f t="shared" si="18"/>
        <v>8454.6886669478699</v>
      </c>
      <c r="G129" s="48">
        <f t="shared" si="19"/>
        <v>0</v>
      </c>
      <c r="H129" s="48">
        <f t="shared" si="20"/>
        <v>8454.6886669478699</v>
      </c>
    </row>
    <row r="130" spans="1:8" x14ac:dyDescent="0.2">
      <c r="A130" s="54">
        <f t="shared" si="14"/>
        <v>113</v>
      </c>
      <c r="B130" s="48">
        <f t="shared" si="15"/>
        <v>1096.8511161186218</v>
      </c>
      <c r="C130" s="78">
        <f t="shared" si="16"/>
        <v>70.455738891232258</v>
      </c>
      <c r="D130" s="48">
        <f t="shared" si="17"/>
        <v>1026.3953772273894</v>
      </c>
      <c r="E130" s="48">
        <f>IF(A130&lt;=$B$5*$B$6,SUM($D$18:D130),"")</f>
        <v>75571.706710279526</v>
      </c>
      <c r="F130" s="48">
        <f t="shared" si="18"/>
        <v>7428.2932897204737</v>
      </c>
      <c r="G130" s="48">
        <f t="shared" si="19"/>
        <v>0</v>
      </c>
      <c r="H130" s="48">
        <f t="shared" si="20"/>
        <v>7428.2932897204737</v>
      </c>
    </row>
    <row r="131" spans="1:8" x14ac:dyDescent="0.2">
      <c r="A131" s="54">
        <f t="shared" si="14"/>
        <v>114</v>
      </c>
      <c r="B131" s="48">
        <f t="shared" si="15"/>
        <v>1096.8511161186218</v>
      </c>
      <c r="C131" s="78">
        <f t="shared" si="16"/>
        <v>61.90244408100402</v>
      </c>
      <c r="D131" s="48">
        <f t="shared" si="17"/>
        <v>1034.9486720376178</v>
      </c>
      <c r="E131" s="48">
        <f>IF(A131&lt;=$B$5*$B$6,SUM($D$18:D131),"")</f>
        <v>76606.655382317142</v>
      </c>
      <c r="F131" s="48">
        <f t="shared" si="18"/>
        <v>6393.3446176828584</v>
      </c>
      <c r="G131" s="48">
        <f t="shared" si="19"/>
        <v>0</v>
      </c>
      <c r="H131" s="48">
        <f t="shared" si="20"/>
        <v>6393.3446176828584</v>
      </c>
    </row>
    <row r="132" spans="1:8" x14ac:dyDescent="0.2">
      <c r="A132" s="54">
        <f t="shared" si="14"/>
        <v>115</v>
      </c>
      <c r="B132" s="48">
        <f t="shared" si="15"/>
        <v>1096.8511161186218</v>
      </c>
      <c r="C132" s="78">
        <f t="shared" si="16"/>
        <v>53.277871814023875</v>
      </c>
      <c r="D132" s="48">
        <f t="shared" si="17"/>
        <v>1043.5732443045979</v>
      </c>
      <c r="E132" s="48">
        <f>IF(A132&lt;=$B$5*$B$6,SUM($D$18:D132),"")</f>
        <v>77650.228626621742</v>
      </c>
      <c r="F132" s="48">
        <f t="shared" si="18"/>
        <v>5349.7713733782584</v>
      </c>
      <c r="G132" s="48">
        <f t="shared" si="19"/>
        <v>0</v>
      </c>
      <c r="H132" s="48">
        <f t="shared" si="20"/>
        <v>5349.7713733782584</v>
      </c>
    </row>
    <row r="133" spans="1:8" x14ac:dyDescent="0.2">
      <c r="A133" s="54">
        <f t="shared" si="14"/>
        <v>116</v>
      </c>
      <c r="B133" s="48">
        <f t="shared" si="15"/>
        <v>1096.8511161186218</v>
      </c>
      <c r="C133" s="78">
        <f t="shared" si="16"/>
        <v>44.581428111485572</v>
      </c>
      <c r="D133" s="48">
        <f t="shared" si="17"/>
        <v>1052.2696880071362</v>
      </c>
      <c r="E133" s="48">
        <f>IF(A133&lt;=$B$5*$B$6,SUM($D$18:D133),"")</f>
        <v>78702.498314628872</v>
      </c>
      <c r="F133" s="48">
        <f t="shared" si="18"/>
        <v>4297.5016853711277</v>
      </c>
      <c r="G133" s="48">
        <f t="shared" si="19"/>
        <v>0</v>
      </c>
      <c r="H133" s="48">
        <f t="shared" si="20"/>
        <v>4297.5016853711277</v>
      </c>
    </row>
    <row r="134" spans="1:8" x14ac:dyDescent="0.2">
      <c r="A134" s="54">
        <f t="shared" si="14"/>
        <v>117</v>
      </c>
      <c r="B134" s="48">
        <f t="shared" si="15"/>
        <v>1096.8511161186218</v>
      </c>
      <c r="C134" s="78">
        <f t="shared" si="16"/>
        <v>35.812514044759425</v>
      </c>
      <c r="D134" s="48">
        <f t="shared" si="17"/>
        <v>1061.0386020738622</v>
      </c>
      <c r="E134" s="48">
        <f>IF(A134&lt;=$B$5*$B$6,SUM($D$18:D134),"")</f>
        <v>79763.536916702738</v>
      </c>
      <c r="F134" s="48">
        <f t="shared" si="18"/>
        <v>3236.4630832972616</v>
      </c>
      <c r="G134" s="48">
        <f t="shared" si="19"/>
        <v>0</v>
      </c>
      <c r="H134" s="48">
        <f t="shared" si="20"/>
        <v>3236.4630832972616</v>
      </c>
    </row>
    <row r="135" spans="1:8" x14ac:dyDescent="0.2">
      <c r="A135" s="54">
        <f t="shared" si="14"/>
        <v>118</v>
      </c>
      <c r="B135" s="48">
        <f t="shared" si="15"/>
        <v>1096.8511161186218</v>
      </c>
      <c r="C135" s="78">
        <f t="shared" si="16"/>
        <v>26.970525694143912</v>
      </c>
      <c r="D135" s="48">
        <f t="shared" si="17"/>
        <v>1069.880590424478</v>
      </c>
      <c r="E135" s="48">
        <f>IF(A135&lt;=$B$5*$B$6,SUM($D$18:D135),"")</f>
        <v>80833.417507127218</v>
      </c>
      <c r="F135" s="48">
        <f t="shared" si="18"/>
        <v>2166.5824928727816</v>
      </c>
      <c r="G135" s="48">
        <f t="shared" si="19"/>
        <v>0</v>
      </c>
      <c r="H135" s="48">
        <f t="shared" si="20"/>
        <v>2166.5824928727816</v>
      </c>
    </row>
    <row r="136" spans="1:8" x14ac:dyDescent="0.2">
      <c r="A136" s="54">
        <f t="shared" si="14"/>
        <v>119</v>
      </c>
      <c r="B136" s="48">
        <f t="shared" si="15"/>
        <v>1096.8511161186218</v>
      </c>
      <c r="C136" s="78">
        <f t="shared" si="16"/>
        <v>18.054854107273265</v>
      </c>
      <c r="D136" s="48">
        <f t="shared" si="17"/>
        <v>1078.7962620113485</v>
      </c>
      <c r="E136" s="48">
        <f>IF(A136&lt;=$B$5*$B$6,SUM($D$18:D136),"")</f>
        <v>81912.213769138572</v>
      </c>
      <c r="F136" s="48">
        <f t="shared" si="18"/>
        <v>1087.7862308614276</v>
      </c>
      <c r="G136" s="48">
        <f t="shared" si="19"/>
        <v>0</v>
      </c>
      <c r="H136" s="48">
        <f t="shared" si="20"/>
        <v>1087.7862308614276</v>
      </c>
    </row>
    <row r="137" spans="1:8" x14ac:dyDescent="0.2">
      <c r="A137" s="54">
        <f t="shared" si="14"/>
        <v>120</v>
      </c>
      <c r="B137" s="48">
        <f t="shared" si="15"/>
        <v>1096.8511161186218</v>
      </c>
      <c r="C137" s="78">
        <f t="shared" si="16"/>
        <v>9.0648852571786929</v>
      </c>
      <c r="D137" s="48">
        <f t="shared" si="17"/>
        <v>1087.7862308614431</v>
      </c>
      <c r="E137" s="48">
        <f>IF(A137&lt;=$B$5*$B$6,SUM($D$18:D137),"")</f>
        <v>83000.000000000015</v>
      </c>
      <c r="F137" s="48">
        <f t="shared" si="18"/>
        <v>-1.4551915228366852E-11</v>
      </c>
      <c r="G137" s="48">
        <f t="shared" si="19"/>
        <v>0</v>
      </c>
      <c r="H137" s="48">
        <f t="shared" si="20"/>
        <v>-1.4551915228366852E-11</v>
      </c>
    </row>
    <row r="138" spans="1:8" x14ac:dyDescent="0.2">
      <c r="A138" s="54" t="str">
        <f t="shared" si="14"/>
        <v/>
      </c>
      <c r="B138" s="48" t="str">
        <f t="shared" si="15"/>
        <v/>
      </c>
      <c r="C138" s="78" t="str">
        <f t="shared" si="16"/>
        <v/>
      </c>
      <c r="D138" s="48" t="str">
        <f t="shared" si="17"/>
        <v/>
      </c>
      <c r="E138" s="48" t="str">
        <f>IF(A138&lt;=$B$5*$B$6,SUM($D$18:D138),"")</f>
        <v/>
      </c>
      <c r="F138" s="48" t="str">
        <f t="shared" si="18"/>
        <v/>
      </c>
      <c r="G138" s="48" t="str">
        <f t="shared" si="19"/>
        <v/>
      </c>
      <c r="H138" s="48" t="str">
        <f t="shared" si="20"/>
        <v/>
      </c>
    </row>
    <row r="139" spans="1:8" x14ac:dyDescent="0.2">
      <c r="A139" s="54" t="str">
        <f t="shared" si="14"/>
        <v/>
      </c>
      <c r="B139" s="48" t="str">
        <f t="shared" si="15"/>
        <v/>
      </c>
      <c r="C139" s="78" t="str">
        <f t="shared" si="16"/>
        <v/>
      </c>
      <c r="D139" s="48" t="str">
        <f t="shared" si="17"/>
        <v/>
      </c>
      <c r="E139" s="48" t="str">
        <f>IF(A139&lt;=$B$5*$B$6,SUM($D$18:D139),"")</f>
        <v/>
      </c>
      <c r="F139" s="48" t="str">
        <f t="shared" si="18"/>
        <v/>
      </c>
      <c r="G139" s="48" t="str">
        <f t="shared" si="19"/>
        <v/>
      </c>
      <c r="H139" s="48" t="str">
        <f t="shared" si="20"/>
        <v/>
      </c>
    </row>
    <row r="140" spans="1:8" x14ac:dyDescent="0.2">
      <c r="A140" s="54" t="str">
        <f t="shared" si="14"/>
        <v/>
      </c>
      <c r="B140" s="48" t="str">
        <f t="shared" si="15"/>
        <v/>
      </c>
      <c r="C140" s="78" t="str">
        <f t="shared" si="16"/>
        <v/>
      </c>
      <c r="D140" s="48" t="str">
        <f t="shared" si="17"/>
        <v/>
      </c>
      <c r="E140" s="48" t="str">
        <f>IF(A140&lt;=$B$5*$B$6,SUM($D$18:D140),"")</f>
        <v/>
      </c>
      <c r="F140" s="48" t="str">
        <f t="shared" si="18"/>
        <v/>
      </c>
      <c r="G140" s="48" t="str">
        <f t="shared" si="19"/>
        <v/>
      </c>
      <c r="H140" s="48" t="str">
        <f t="shared" si="20"/>
        <v/>
      </c>
    </row>
    <row r="141" spans="1:8" x14ac:dyDescent="0.2">
      <c r="A141" s="54" t="str">
        <f t="shared" si="14"/>
        <v/>
      </c>
      <c r="B141" s="48" t="str">
        <f t="shared" si="15"/>
        <v/>
      </c>
      <c r="C141" s="78" t="str">
        <f t="shared" si="16"/>
        <v/>
      </c>
      <c r="D141" s="48" t="str">
        <f t="shared" si="17"/>
        <v/>
      </c>
      <c r="E141" s="48" t="str">
        <f>IF(A141&lt;=$B$5*$B$6,SUM($D$18:D141),"")</f>
        <v/>
      </c>
      <c r="F141" s="48" t="str">
        <f t="shared" si="18"/>
        <v/>
      </c>
      <c r="G141" s="48" t="str">
        <f t="shared" si="19"/>
        <v/>
      </c>
      <c r="H141" s="48" t="str">
        <f t="shared" si="20"/>
        <v/>
      </c>
    </row>
    <row r="142" spans="1:8" x14ac:dyDescent="0.2">
      <c r="A142" s="54" t="str">
        <f t="shared" si="14"/>
        <v/>
      </c>
      <c r="B142" s="48" t="str">
        <f t="shared" si="15"/>
        <v/>
      </c>
      <c r="C142" s="78" t="str">
        <f t="shared" si="16"/>
        <v/>
      </c>
      <c r="D142" s="48" t="str">
        <f t="shared" si="17"/>
        <v/>
      </c>
      <c r="E142" s="48" t="str">
        <f>IF(A142&lt;=$B$5*$B$6,SUM($D$18:D142),"")</f>
        <v/>
      </c>
      <c r="F142" s="48" t="str">
        <f t="shared" si="18"/>
        <v/>
      </c>
      <c r="G142" s="48" t="str">
        <f t="shared" si="19"/>
        <v/>
      </c>
      <c r="H142" s="48" t="str">
        <f t="shared" si="20"/>
        <v/>
      </c>
    </row>
    <row r="143" spans="1:8" x14ac:dyDescent="0.2">
      <c r="A143" s="54" t="str">
        <f t="shared" si="14"/>
        <v/>
      </c>
      <c r="B143" s="48" t="str">
        <f t="shared" si="15"/>
        <v/>
      </c>
      <c r="C143" s="78" t="str">
        <f t="shared" si="16"/>
        <v/>
      </c>
      <c r="D143" s="48" t="str">
        <f t="shared" si="17"/>
        <v/>
      </c>
      <c r="E143" s="48" t="str">
        <f>IF(A143&lt;=$B$5*$B$6,SUM($D$18:D143),"")</f>
        <v/>
      </c>
      <c r="F143" s="48" t="str">
        <f t="shared" si="18"/>
        <v/>
      </c>
      <c r="G143" s="48" t="str">
        <f t="shared" si="19"/>
        <v/>
      </c>
      <c r="H143" s="48" t="str">
        <f t="shared" si="20"/>
        <v/>
      </c>
    </row>
    <row r="144" spans="1:8" x14ac:dyDescent="0.2">
      <c r="A144" s="54" t="str">
        <f t="shared" si="14"/>
        <v/>
      </c>
      <c r="B144" s="48" t="str">
        <f t="shared" si="15"/>
        <v/>
      </c>
      <c r="C144" s="78" t="str">
        <f t="shared" si="16"/>
        <v/>
      </c>
      <c r="D144" s="48" t="str">
        <f t="shared" si="17"/>
        <v/>
      </c>
      <c r="E144" s="48" t="str">
        <f>IF(A144&lt;=$B$5*$B$6,SUM($D$18:D144),"")</f>
        <v/>
      </c>
      <c r="F144" s="48" t="str">
        <f t="shared" si="18"/>
        <v/>
      </c>
      <c r="G144" s="48" t="str">
        <f t="shared" si="19"/>
        <v/>
      </c>
      <c r="H144" s="48" t="str">
        <f t="shared" si="20"/>
        <v/>
      </c>
    </row>
    <row r="145" spans="1:8" x14ac:dyDescent="0.2">
      <c r="A145" s="54" t="str">
        <f t="shared" si="14"/>
        <v/>
      </c>
      <c r="B145" s="48" t="str">
        <f t="shared" si="15"/>
        <v/>
      </c>
      <c r="C145" s="78" t="str">
        <f t="shared" si="16"/>
        <v/>
      </c>
      <c r="D145" s="48" t="str">
        <f t="shared" si="17"/>
        <v/>
      </c>
      <c r="E145" s="48" t="str">
        <f>IF(A145&lt;=$B$5*$B$6,SUM($D$18:D145),"")</f>
        <v/>
      </c>
      <c r="F145" s="48" t="str">
        <f t="shared" si="18"/>
        <v/>
      </c>
      <c r="G145" s="48" t="str">
        <f t="shared" si="19"/>
        <v/>
      </c>
      <c r="H145" s="48" t="str">
        <f t="shared" si="20"/>
        <v/>
      </c>
    </row>
    <row r="146" spans="1:8" x14ac:dyDescent="0.2">
      <c r="A146" s="54" t="str">
        <f t="shared" ref="A146:A153" si="21">IF(A145&lt;$B$5*$B$6,A145+1,"")</f>
        <v/>
      </c>
      <c r="B146" s="48" t="str">
        <f t="shared" si="15"/>
        <v/>
      </c>
      <c r="C146" s="78" t="str">
        <f t="shared" si="16"/>
        <v/>
      </c>
      <c r="D146" s="48" t="str">
        <f t="shared" si="17"/>
        <v/>
      </c>
      <c r="E146" s="48" t="str">
        <f>IF(A146&lt;=$B$5*$B$6,SUM($D$18:D146),"")</f>
        <v/>
      </c>
      <c r="F146" s="48" t="str">
        <f t="shared" si="18"/>
        <v/>
      </c>
      <c r="G146" s="48" t="str">
        <f t="shared" si="19"/>
        <v/>
      </c>
      <c r="H146" s="48" t="str">
        <f t="shared" si="20"/>
        <v/>
      </c>
    </row>
    <row r="147" spans="1:8" x14ac:dyDescent="0.2">
      <c r="A147" s="54" t="str">
        <f t="shared" si="21"/>
        <v/>
      </c>
      <c r="B147" s="48" t="str">
        <f t="shared" si="15"/>
        <v/>
      </c>
      <c r="C147" s="78" t="str">
        <f t="shared" si="16"/>
        <v/>
      </c>
      <c r="D147" s="48" t="str">
        <f t="shared" si="17"/>
        <v/>
      </c>
      <c r="E147" s="48" t="str">
        <f>IF(A147&lt;=$B$5*$B$6,SUM($D$18:D147),"")</f>
        <v/>
      </c>
      <c r="F147" s="48" t="str">
        <f t="shared" si="18"/>
        <v/>
      </c>
      <c r="G147" s="48" t="str">
        <f t="shared" si="19"/>
        <v/>
      </c>
      <c r="H147" s="48" t="str">
        <f t="shared" si="20"/>
        <v/>
      </c>
    </row>
    <row r="148" spans="1:8" x14ac:dyDescent="0.2">
      <c r="A148" s="54" t="str">
        <f t="shared" si="21"/>
        <v/>
      </c>
      <c r="B148" s="48" t="str">
        <f t="shared" si="15"/>
        <v/>
      </c>
      <c r="C148" s="78" t="str">
        <f t="shared" si="16"/>
        <v/>
      </c>
      <c r="D148" s="48" t="str">
        <f t="shared" si="17"/>
        <v/>
      </c>
      <c r="E148" s="48" t="str">
        <f>IF(A148&lt;=$B$5*$B$6,SUM($D$18:D148),"")</f>
        <v/>
      </c>
      <c r="F148" s="48" t="str">
        <f t="shared" si="18"/>
        <v/>
      </c>
      <c r="G148" s="48" t="str">
        <f t="shared" si="19"/>
        <v/>
      </c>
      <c r="H148" s="48" t="str">
        <f t="shared" si="20"/>
        <v/>
      </c>
    </row>
    <row r="149" spans="1:8" x14ac:dyDescent="0.2">
      <c r="A149" s="54" t="str">
        <f t="shared" si="21"/>
        <v/>
      </c>
      <c r="B149" s="48" t="str">
        <f t="shared" si="15"/>
        <v/>
      </c>
      <c r="C149" s="78" t="str">
        <f t="shared" si="16"/>
        <v/>
      </c>
      <c r="D149" s="48" t="str">
        <f t="shared" si="17"/>
        <v/>
      </c>
      <c r="E149" s="48" t="str">
        <f>IF(A149&lt;=$B$5*$B$6,SUM($D$18:D149),"")</f>
        <v/>
      </c>
      <c r="F149" s="48" t="str">
        <f t="shared" si="18"/>
        <v/>
      </c>
      <c r="G149" s="48" t="str">
        <f t="shared" si="19"/>
        <v/>
      </c>
      <c r="H149" s="48" t="str">
        <f t="shared" si="20"/>
        <v/>
      </c>
    </row>
    <row r="150" spans="1:8" x14ac:dyDescent="0.2">
      <c r="A150" s="54" t="str">
        <f t="shared" si="21"/>
        <v/>
      </c>
      <c r="B150" s="48" t="str">
        <f t="shared" si="15"/>
        <v/>
      </c>
      <c r="C150" s="78" t="str">
        <f t="shared" si="16"/>
        <v/>
      </c>
      <c r="D150" s="48" t="str">
        <f t="shared" si="17"/>
        <v/>
      </c>
      <c r="E150" s="48" t="str">
        <f>IF(A150&lt;=$B$5*$B$6,SUM($D$18:D150),"")</f>
        <v/>
      </c>
      <c r="F150" s="48" t="str">
        <f t="shared" si="18"/>
        <v/>
      </c>
      <c r="G150" s="48" t="str">
        <f t="shared" si="19"/>
        <v/>
      </c>
      <c r="H150" s="48" t="str">
        <f t="shared" si="20"/>
        <v/>
      </c>
    </row>
    <row r="151" spans="1:8" x14ac:dyDescent="0.2">
      <c r="A151" s="54" t="str">
        <f t="shared" si="21"/>
        <v/>
      </c>
      <c r="B151" s="48" t="str">
        <f t="shared" si="15"/>
        <v/>
      </c>
      <c r="C151" s="78" t="str">
        <f t="shared" si="16"/>
        <v/>
      </c>
      <c r="D151" s="48" t="str">
        <f t="shared" si="17"/>
        <v/>
      </c>
      <c r="E151" s="48" t="str">
        <f>IF(A151&lt;=$B$5*$B$6,SUM($D$18:D151),"")</f>
        <v/>
      </c>
      <c r="F151" s="48" t="str">
        <f t="shared" si="18"/>
        <v/>
      </c>
      <c r="G151" s="48" t="str">
        <f t="shared" si="19"/>
        <v/>
      </c>
      <c r="H151" s="48" t="str">
        <f t="shared" si="20"/>
        <v/>
      </c>
    </row>
    <row r="152" spans="1:8" x14ac:dyDescent="0.2">
      <c r="A152" s="54" t="str">
        <f t="shared" si="21"/>
        <v/>
      </c>
      <c r="B152" s="48" t="str">
        <f t="shared" si="15"/>
        <v/>
      </c>
      <c r="C152" s="78" t="str">
        <f t="shared" si="16"/>
        <v/>
      </c>
      <c r="D152" s="48" t="str">
        <f t="shared" si="17"/>
        <v/>
      </c>
      <c r="E152" s="48" t="str">
        <f>IF(A152&lt;=$B$5*$B$6,SUM($D$18:D152),"")</f>
        <v/>
      </c>
      <c r="F152" s="48" t="str">
        <f t="shared" si="18"/>
        <v/>
      </c>
      <c r="G152" s="48" t="str">
        <f t="shared" si="19"/>
        <v/>
      </c>
      <c r="H152" s="48" t="str">
        <f t="shared" si="20"/>
        <v/>
      </c>
    </row>
    <row r="153" spans="1:8" x14ac:dyDescent="0.2">
      <c r="A153" s="54" t="str">
        <f t="shared" si="21"/>
        <v/>
      </c>
      <c r="B153" s="48" t="str">
        <f t="shared" si="15"/>
        <v/>
      </c>
      <c r="C153" s="78" t="str">
        <f t="shared" si="16"/>
        <v/>
      </c>
      <c r="D153" s="48" t="str">
        <f t="shared" si="17"/>
        <v/>
      </c>
      <c r="E153" s="48" t="str">
        <f>IF(A153&lt;=$B$5*$B$6,SUM($D$18:D153),"")</f>
        <v/>
      </c>
      <c r="F153" s="48" t="str">
        <f t="shared" si="18"/>
        <v/>
      </c>
      <c r="G153" s="48" t="str">
        <f t="shared" si="19"/>
        <v/>
      </c>
      <c r="H153" s="48" t="str">
        <f t="shared" si="20"/>
        <v/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inversiones</vt:lpstr>
      <vt:lpstr>Plan econ.</vt:lpstr>
      <vt:lpstr>Plan financiero</vt:lpstr>
      <vt:lpstr>Péstamo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Rodríguez</dc:creator>
  <cp:lastModifiedBy>Carmen Rodríguez</cp:lastModifiedBy>
  <dcterms:created xsi:type="dcterms:W3CDTF">2015-03-24T16:32:48Z</dcterms:created>
  <dcterms:modified xsi:type="dcterms:W3CDTF">2015-03-25T17:19:04Z</dcterms:modified>
</cp:coreProperties>
</file>